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9.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0.xml" ContentType="application/vnd.openxmlformats-officedocument.themeOverrid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vazq\Dropbox (OK Policy)\Comms Graphics\Graphics - Reports &amp; Papers\2021\A Better Path Forward 2021\Data\"/>
    </mc:Choice>
  </mc:AlternateContent>
  <bookViews>
    <workbookView xWindow="0" yWindow="0" windowWidth="23040" windowHeight="8325" activeTab="8"/>
  </bookViews>
  <sheets>
    <sheet name="Index" sheetId="42" r:id="rId1"/>
    <sheet name="1" sheetId="32" r:id="rId2"/>
    <sheet name="2" sheetId="6" r:id="rId3"/>
    <sheet name="3" sheetId="8" r:id="rId4"/>
    <sheet name="4" sheetId="9" r:id="rId5"/>
    <sheet name="5" sheetId="10" r:id="rId6"/>
    <sheet name="6" sheetId="13" r:id="rId7"/>
    <sheet name="7" sheetId="45" r:id="rId8"/>
    <sheet name="8" sheetId="7" r:id="rId9"/>
    <sheet name="9" sheetId="43" r:id="rId10"/>
    <sheet name="10" sheetId="12" r:id="rId11"/>
    <sheet name="11" sheetId="27" r:id="rId12"/>
    <sheet name="12" sheetId="37" r:id="rId13"/>
    <sheet name="13" sheetId="28" r:id="rId14"/>
    <sheet name="14" sheetId="31" r:id="rId15"/>
    <sheet name="15" sheetId="14" r:id="rId16"/>
    <sheet name="16" sheetId="33" r:id="rId17"/>
    <sheet name="17" sheetId="35" r:id="rId18"/>
    <sheet name="18" sheetId="4" r:id="rId19"/>
    <sheet name="19" sheetId="22" r:id="rId20"/>
    <sheet name="20" sheetId="26" r:id="rId21"/>
    <sheet name="21" sheetId="38" r:id="rId22"/>
    <sheet name="22" sheetId="24" r:id="rId23"/>
    <sheet name="23" sheetId="39" r:id="rId24"/>
    <sheet name="24" sheetId="40" r:id="rId25"/>
    <sheet name="25" sheetId="15" r:id="rId26"/>
    <sheet name="26" sheetId="16" r:id="rId27"/>
    <sheet name="27" sheetId="44" r:id="rId28"/>
    <sheet name="28" sheetId="1" r:id="rId29"/>
    <sheet name="29" sheetId="34" r:id="rId30"/>
    <sheet name="30" sheetId="41" r:id="rId31"/>
  </sheets>
  <calcPr calcId="162913"/>
</workbook>
</file>

<file path=xl/calcChain.xml><?xml version="1.0" encoding="utf-8"?>
<calcChain xmlns="http://schemas.openxmlformats.org/spreadsheetml/2006/main">
  <c r="F12" i="44" l="1"/>
  <c r="F74" i="45"/>
  <c r="F73" i="45"/>
  <c r="G63" i="45"/>
  <c r="E63" i="45"/>
  <c r="F62" i="45"/>
  <c r="F61" i="45"/>
  <c r="O51" i="45"/>
  <c r="N51" i="45"/>
  <c r="M51" i="45"/>
  <c r="L51" i="45"/>
  <c r="K51" i="45"/>
  <c r="J51" i="45"/>
  <c r="I51" i="45"/>
  <c r="O50" i="45"/>
  <c r="N50" i="45"/>
  <c r="M50" i="45"/>
  <c r="L50" i="45"/>
  <c r="K50" i="45"/>
  <c r="J50" i="45"/>
  <c r="I50" i="45"/>
  <c r="G51" i="45"/>
  <c r="G52" i="45" s="1"/>
  <c r="E51" i="45"/>
  <c r="E52" i="45" s="1"/>
  <c r="G50" i="45"/>
  <c r="E50" i="45"/>
  <c r="G43" i="45"/>
  <c r="E43" i="45"/>
  <c r="F42" i="45"/>
  <c r="F41" i="45"/>
  <c r="F30" i="45"/>
  <c r="F51" i="45" s="1"/>
  <c r="F29" i="45"/>
  <c r="F50" i="45" s="1"/>
  <c r="G31" i="45"/>
  <c r="E31" i="45"/>
  <c r="F19" i="45"/>
  <c r="F20" i="45" s="1"/>
  <c r="F18" i="45"/>
  <c r="G20" i="45"/>
  <c r="E20" i="45"/>
  <c r="G10" i="45"/>
  <c r="E10" i="45"/>
  <c r="F9" i="45"/>
  <c r="F8" i="45"/>
  <c r="G75" i="45" l="1"/>
  <c r="F63" i="45"/>
  <c r="E75" i="45"/>
  <c r="F52" i="45"/>
  <c r="F75" i="45"/>
  <c r="F31" i="45"/>
  <c r="F43" i="45"/>
  <c r="F10" i="45"/>
  <c r="O18" i="13" l="1"/>
  <c r="O19" i="13"/>
  <c r="O20" i="13"/>
  <c r="D31" i="32"/>
  <c r="D33" i="32" s="1"/>
  <c r="E12" i="44" l="1"/>
  <c r="E16" i="44" s="1"/>
  <c r="E10" i="44"/>
  <c r="F8" i="43" l="1"/>
  <c r="F9" i="43" s="1"/>
  <c r="E8" i="43"/>
  <c r="E9" i="43" s="1"/>
  <c r="F7" i="43"/>
  <c r="E7" i="43"/>
  <c r="O9" i="13" l="1"/>
  <c r="D36" i="32" l="1"/>
  <c r="D27" i="6"/>
  <c r="D28" i="6" s="1"/>
  <c r="D29" i="6" s="1"/>
  <c r="I29" i="41" l="1"/>
  <c r="G29" i="41"/>
  <c r="F29" i="41"/>
  <c r="J29" i="41" s="1"/>
  <c r="E8" i="40"/>
  <c r="B59" i="24"/>
  <c r="B24" i="39" l="1"/>
  <c r="B25" i="39" s="1"/>
  <c r="B16" i="39"/>
  <c r="B18" i="39" s="1"/>
  <c r="B15" i="39"/>
  <c r="B9" i="38"/>
  <c r="B12" i="38"/>
  <c r="B13" i="38" s="1"/>
  <c r="B14" i="38" s="1"/>
  <c r="H23" i="35" l="1"/>
  <c r="F25" i="35"/>
  <c r="F24" i="35"/>
  <c r="F23" i="35"/>
  <c r="B24" i="35"/>
  <c r="C26" i="35"/>
  <c r="H24" i="35" s="1"/>
  <c r="B26" i="35"/>
  <c r="F26" i="35" s="1"/>
  <c r="F14" i="35"/>
  <c r="F13" i="35"/>
  <c r="F12" i="35"/>
  <c r="F11" i="35"/>
  <c r="F10" i="35"/>
  <c r="F9" i="35"/>
  <c r="F8" i="35"/>
  <c r="H13" i="35"/>
  <c r="H12" i="35"/>
  <c r="H11" i="35"/>
  <c r="H10" i="35"/>
  <c r="H9" i="35"/>
  <c r="H8" i="35"/>
  <c r="C11" i="35"/>
  <c r="B11" i="35"/>
  <c r="F15" i="35" s="1"/>
  <c r="H16" i="35" l="1"/>
  <c r="C12" i="35" s="1"/>
  <c r="F31" i="35"/>
  <c r="B27" i="35" s="1"/>
  <c r="H31" i="35"/>
  <c r="C27" i="35" s="1"/>
  <c r="F16" i="35"/>
  <c r="B12" i="35" s="1"/>
  <c r="C13" i="35" s="1"/>
  <c r="C14" i="35" s="1"/>
  <c r="U6" i="14"/>
  <c r="T8" i="14"/>
  <c r="S8" i="14"/>
  <c r="R8" i="14"/>
  <c r="T7" i="14"/>
  <c r="S7" i="14"/>
  <c r="R7" i="14"/>
  <c r="T6" i="14"/>
  <c r="S6" i="14"/>
  <c r="R6" i="14"/>
  <c r="C28" i="35" l="1"/>
  <c r="C29" i="35" s="1"/>
  <c r="E75" i="27"/>
  <c r="E74" i="27"/>
  <c r="E73" i="27"/>
  <c r="E72" i="27"/>
  <c r="E71" i="27"/>
  <c r="E70" i="27"/>
  <c r="E7" i="6" l="1"/>
  <c r="E8" i="6"/>
  <c r="E9" i="6"/>
  <c r="E10" i="6"/>
  <c r="E11" i="6"/>
  <c r="E12" i="6"/>
  <c r="E13" i="6"/>
  <c r="E14" i="6"/>
  <c r="E15" i="6"/>
  <c r="E16" i="6"/>
  <c r="E17" i="6"/>
  <c r="E18" i="6"/>
  <c r="E19" i="6"/>
  <c r="E20" i="6"/>
  <c r="E21" i="6"/>
  <c r="E22" i="6"/>
  <c r="E23" i="6"/>
  <c r="E24" i="6"/>
  <c r="E25" i="6"/>
  <c r="E26" i="6"/>
  <c r="E27" i="6"/>
  <c r="E28" i="6"/>
  <c r="E29" i="6"/>
  <c r="E6" i="6"/>
  <c r="F6" i="6" s="1"/>
  <c r="F22" i="6" l="1"/>
  <c r="F14" i="6"/>
  <c r="F25" i="6"/>
  <c r="F17" i="6"/>
  <c r="F9" i="6"/>
  <c r="F28" i="6"/>
  <c r="F24" i="6"/>
  <c r="F20" i="6"/>
  <c r="F16" i="6"/>
  <c r="F12" i="6"/>
  <c r="F8" i="6"/>
  <c r="F26" i="6"/>
  <c r="F18" i="6"/>
  <c r="F10" i="6"/>
  <c r="F29" i="6"/>
  <c r="F21" i="6"/>
  <c r="F13" i="6"/>
  <c r="F27" i="6"/>
  <c r="F23" i="6"/>
  <c r="F19" i="6"/>
  <c r="F15" i="6"/>
  <c r="F11" i="6"/>
  <c r="F7" i="6"/>
  <c r="O22" i="13"/>
  <c r="O21" i="13"/>
  <c r="O11" i="13"/>
  <c r="O23" i="13"/>
  <c r="O12" i="13"/>
  <c r="O24" i="13"/>
  <c r="O13" i="13"/>
  <c r="O25" i="13"/>
  <c r="O10" i="13"/>
  <c r="C20" i="8" l="1"/>
  <c r="C23" i="8" s="1"/>
  <c r="C24" i="8" s="1"/>
  <c r="C25" i="8" s="1"/>
  <c r="R9" i="8"/>
  <c r="R9" i="28" l="1"/>
  <c r="F9" i="28"/>
  <c r="M119" i="34" l="1"/>
  <c r="M120" i="34" s="1"/>
  <c r="M121" i="34" s="1"/>
  <c r="G114" i="34" s="1"/>
  <c r="G109" i="34" s="1"/>
  <c r="G81" i="34"/>
  <c r="G82" i="34"/>
  <c r="H129" i="34"/>
  <c r="H130" i="34" s="1"/>
  <c r="G23" i="34"/>
  <c r="G15" i="34"/>
  <c r="G10" i="34" s="1"/>
  <c r="G83" i="34" l="1"/>
  <c r="G79" i="34" s="1"/>
  <c r="K54" i="34"/>
  <c r="K53" i="34"/>
  <c r="N41" i="34"/>
  <c r="N40" i="34"/>
  <c r="N39" i="34"/>
  <c r="N38" i="34"/>
  <c r="M37" i="34"/>
  <c r="N37" i="34" s="1"/>
  <c r="N45" i="34" s="1"/>
  <c r="N36" i="34"/>
  <c r="N35" i="34"/>
  <c r="N34" i="34"/>
  <c r="N33" i="34"/>
  <c r="N44" i="34" l="1"/>
  <c r="N46" i="34" s="1"/>
  <c r="N47" i="34" s="1"/>
  <c r="M54" i="34" s="1"/>
  <c r="G102" i="34"/>
  <c r="G94" i="34" s="1"/>
  <c r="G13" i="34"/>
  <c r="H68" i="34"/>
  <c r="H71" i="34" s="1"/>
  <c r="G29" i="34" l="1"/>
  <c r="G30" i="34" s="1"/>
  <c r="K312" i="10" l="1"/>
  <c r="J312" i="10"/>
  <c r="I312" i="10"/>
  <c r="H312" i="10"/>
  <c r="E312" i="10"/>
  <c r="K311" i="10"/>
  <c r="J311" i="10"/>
  <c r="I311" i="10"/>
  <c r="H311" i="10"/>
  <c r="E7" i="10" s="1"/>
  <c r="G311" i="10"/>
  <c r="E8" i="10" s="1"/>
  <c r="F311" i="10"/>
  <c r="E9" i="10" s="1"/>
  <c r="M9" i="10" s="1"/>
  <c r="M36" i="10" s="1"/>
  <c r="E311" i="10"/>
  <c r="E10" i="10" s="1"/>
  <c r="D312" i="10"/>
  <c r="D311" i="10"/>
  <c r="E11" i="10" s="1"/>
  <c r="K313" i="10" l="1"/>
  <c r="J313" i="10"/>
  <c r="M10" i="10"/>
  <c r="M37" i="10" s="1"/>
  <c r="M8" i="10"/>
  <c r="M35" i="10" s="1"/>
  <c r="E313" i="10"/>
  <c r="I313" i="10"/>
  <c r="M11" i="10"/>
  <c r="M38" i="10" s="1"/>
  <c r="M7" i="10"/>
  <c r="M34" i="10" s="1"/>
  <c r="H313" i="10"/>
  <c r="D313" i="10"/>
  <c r="D38" i="32"/>
  <c r="D26" i="32"/>
  <c r="D28" i="32" s="1"/>
  <c r="D17" i="32"/>
  <c r="D19" i="32" s="1"/>
  <c r="D13" i="32" l="1"/>
  <c r="D7" i="32" l="1"/>
  <c r="D8" i="32" s="1"/>
  <c r="D12" i="32" s="1"/>
  <c r="D11" i="10" l="1"/>
  <c r="C11" i="10"/>
  <c r="C10" i="10"/>
  <c r="C9" i="10"/>
  <c r="C8" i="10"/>
  <c r="D7" i="10"/>
  <c r="C7" i="10"/>
  <c r="D10" i="10"/>
  <c r="H11" i="10" l="1"/>
  <c r="P11" i="10" s="1"/>
  <c r="F7" i="10"/>
  <c r="L8" i="10"/>
  <c r="L35" i="10" s="1"/>
  <c r="F11" i="10"/>
  <c r="F10" i="10"/>
  <c r="L9" i="10"/>
  <c r="L36" i="10" s="1"/>
  <c r="L7" i="10"/>
  <c r="L34" i="10" s="1"/>
  <c r="H7" i="10"/>
  <c r="P7" i="10" s="1"/>
  <c r="L10" i="10"/>
  <c r="L37" i="10" s="1"/>
  <c r="H10" i="10"/>
  <c r="P10" i="10" s="1"/>
  <c r="G7" i="10"/>
  <c r="G10" i="10"/>
  <c r="G11" i="10"/>
  <c r="L11" i="10"/>
  <c r="L38" i="10" s="1"/>
  <c r="O7" i="10"/>
  <c r="S8" i="28"/>
  <c r="V8" i="28" s="1"/>
  <c r="Q9" i="27"/>
  <c r="Q10" i="27"/>
  <c r="Q11" i="27"/>
  <c r="Q12" i="27"/>
  <c r="Q13" i="27"/>
  <c r="Q14" i="27"/>
  <c r="P15" i="27"/>
  <c r="Q15" i="27"/>
  <c r="Q18" i="27"/>
  <c r="Q19" i="27"/>
  <c r="Q20" i="27"/>
  <c r="Q21" i="27"/>
  <c r="Q22" i="27"/>
  <c r="Q23" i="27"/>
  <c r="Q24" i="27"/>
  <c r="Q25" i="27"/>
  <c r="Q26" i="27"/>
  <c r="Q28" i="27"/>
  <c r="Q29" i="27"/>
  <c r="Q30" i="27"/>
  <c r="Q31" i="27"/>
  <c r="Q32" i="27"/>
  <c r="Q33" i="27"/>
  <c r="Q34" i="27"/>
  <c r="Q35" i="27"/>
  <c r="Q36" i="27"/>
  <c r="Q38" i="27"/>
  <c r="Q39" i="27"/>
  <c r="Q40" i="27"/>
  <c r="Q41" i="27"/>
  <c r="Q42" i="27"/>
  <c r="Q43" i="27"/>
  <c r="Q44" i="27"/>
  <c r="Q45" i="27"/>
  <c r="Q48" i="27"/>
  <c r="Q49" i="27"/>
  <c r="Q50" i="27"/>
  <c r="Q51" i="27"/>
  <c r="Q52" i="27"/>
  <c r="Q53" i="27"/>
  <c r="Q54" i="27"/>
  <c r="Q55" i="27"/>
  <c r="Q58" i="27"/>
  <c r="Q59" i="27"/>
  <c r="Q60" i="27"/>
  <c r="Q61" i="27"/>
  <c r="Q62" i="27"/>
  <c r="Q63" i="27"/>
  <c r="Q64" i="27"/>
  <c r="Q65" i="27"/>
  <c r="Q8" i="27"/>
  <c r="M66" i="27"/>
  <c r="L66" i="27"/>
  <c r="K66" i="27"/>
  <c r="J66" i="27"/>
  <c r="I66" i="27"/>
  <c r="H66" i="27"/>
  <c r="G66" i="27"/>
  <c r="F66" i="27"/>
  <c r="Q66" i="27" s="1"/>
  <c r="O65" i="27"/>
  <c r="P65" i="27" s="1"/>
  <c r="R65" i="27" s="1"/>
  <c r="N65" i="27"/>
  <c r="O64" i="27"/>
  <c r="P64" i="27" s="1"/>
  <c r="N64" i="27"/>
  <c r="O63" i="27"/>
  <c r="P63" i="27" s="1"/>
  <c r="N63" i="27"/>
  <c r="O62" i="27"/>
  <c r="P62" i="27" s="1"/>
  <c r="N62" i="27"/>
  <c r="O61" i="27"/>
  <c r="P61" i="27" s="1"/>
  <c r="N61" i="27"/>
  <c r="O60" i="27"/>
  <c r="P60" i="27" s="1"/>
  <c r="N60" i="27"/>
  <c r="O59" i="27"/>
  <c r="P59" i="27" s="1"/>
  <c r="N59" i="27"/>
  <c r="O58" i="27"/>
  <c r="P58" i="27" s="1"/>
  <c r="N58" i="27"/>
  <c r="M56" i="27"/>
  <c r="L56" i="27"/>
  <c r="K56" i="27"/>
  <c r="J56" i="27"/>
  <c r="I56" i="27"/>
  <c r="H56" i="27"/>
  <c r="G56" i="27"/>
  <c r="F56" i="27"/>
  <c r="Q56" i="27" s="1"/>
  <c r="O55" i="27"/>
  <c r="P55" i="27" s="1"/>
  <c r="R55" i="27" s="1"/>
  <c r="N55" i="27"/>
  <c r="O54" i="27"/>
  <c r="P54" i="27" s="1"/>
  <c r="N54" i="27"/>
  <c r="O53" i="27"/>
  <c r="P53" i="27" s="1"/>
  <c r="N53" i="27"/>
  <c r="O52" i="27"/>
  <c r="P52" i="27" s="1"/>
  <c r="N52" i="27"/>
  <c r="O51" i="27"/>
  <c r="P51" i="27" s="1"/>
  <c r="R51" i="27" s="1"/>
  <c r="N51" i="27"/>
  <c r="O50" i="27"/>
  <c r="P50" i="27" s="1"/>
  <c r="N50" i="27"/>
  <c r="O49" i="27"/>
  <c r="P49" i="27" s="1"/>
  <c r="N49" i="27"/>
  <c r="O48" i="27"/>
  <c r="P48" i="27" s="1"/>
  <c r="N48" i="27"/>
  <c r="M46" i="27"/>
  <c r="L46" i="27"/>
  <c r="K46" i="27"/>
  <c r="J46" i="27"/>
  <c r="I46" i="27"/>
  <c r="H46" i="27"/>
  <c r="G46" i="27"/>
  <c r="F46" i="27"/>
  <c r="Q46" i="27" s="1"/>
  <c r="O45" i="27"/>
  <c r="P45" i="27" s="1"/>
  <c r="N45" i="27"/>
  <c r="O44" i="27"/>
  <c r="P44" i="27" s="1"/>
  <c r="N44" i="27"/>
  <c r="O43" i="27"/>
  <c r="P43" i="27" s="1"/>
  <c r="N43" i="27"/>
  <c r="O42" i="27"/>
  <c r="P42" i="27" s="1"/>
  <c r="N42" i="27"/>
  <c r="O41" i="27"/>
  <c r="P41" i="27" s="1"/>
  <c r="N41" i="27"/>
  <c r="O40" i="27"/>
  <c r="P40" i="27" s="1"/>
  <c r="N40" i="27"/>
  <c r="O39" i="27"/>
  <c r="P39" i="27" s="1"/>
  <c r="N39" i="27"/>
  <c r="O38" i="27"/>
  <c r="P38" i="27" s="1"/>
  <c r="R38" i="27" s="1"/>
  <c r="F73" i="27" s="1"/>
  <c r="N38" i="27"/>
  <c r="M36" i="27"/>
  <c r="K36" i="27"/>
  <c r="I36" i="27"/>
  <c r="G36" i="27"/>
  <c r="O35" i="27"/>
  <c r="P35" i="27" s="1"/>
  <c r="N35" i="27"/>
  <c r="O34" i="27"/>
  <c r="P34" i="27" s="1"/>
  <c r="N34" i="27"/>
  <c r="O33" i="27"/>
  <c r="P33" i="27" s="1"/>
  <c r="N33" i="27"/>
  <c r="O32" i="27"/>
  <c r="P32" i="27" s="1"/>
  <c r="N32" i="27"/>
  <c r="O31" i="27"/>
  <c r="P31" i="27" s="1"/>
  <c r="N31" i="27"/>
  <c r="O30" i="27"/>
  <c r="P30" i="27" s="1"/>
  <c r="N30" i="27"/>
  <c r="O29" i="27"/>
  <c r="P29" i="27" s="1"/>
  <c r="R29" i="27" s="1"/>
  <c r="N29" i="27"/>
  <c r="O28" i="27"/>
  <c r="P28" i="27" s="1"/>
  <c r="N28" i="27"/>
  <c r="M26" i="27"/>
  <c r="K26" i="27"/>
  <c r="I26" i="27"/>
  <c r="G26" i="27"/>
  <c r="O25" i="27"/>
  <c r="P25" i="27" s="1"/>
  <c r="N25" i="27"/>
  <c r="O24" i="27"/>
  <c r="P24" i="27" s="1"/>
  <c r="N24" i="27"/>
  <c r="O23" i="27"/>
  <c r="P23" i="27" s="1"/>
  <c r="N23" i="27"/>
  <c r="O22" i="27"/>
  <c r="P22" i="27" s="1"/>
  <c r="N22" i="27"/>
  <c r="O21" i="27"/>
  <c r="P21" i="27" s="1"/>
  <c r="N21" i="27"/>
  <c r="O20" i="27"/>
  <c r="P20" i="27" s="1"/>
  <c r="N20" i="27"/>
  <c r="O19" i="27"/>
  <c r="P19" i="27" s="1"/>
  <c r="N19" i="27"/>
  <c r="O18" i="27"/>
  <c r="P18" i="27" s="1"/>
  <c r="N18" i="27"/>
  <c r="M16" i="27"/>
  <c r="K16" i="27"/>
  <c r="I16" i="27"/>
  <c r="G16" i="27"/>
  <c r="O15" i="27"/>
  <c r="N15" i="27"/>
  <c r="O14" i="27"/>
  <c r="P14" i="27" s="1"/>
  <c r="N14" i="27"/>
  <c r="O13" i="27"/>
  <c r="P13" i="27" s="1"/>
  <c r="N13" i="27"/>
  <c r="O12" i="27"/>
  <c r="P12" i="27" s="1"/>
  <c r="N12" i="27"/>
  <c r="O11" i="27"/>
  <c r="P11" i="27" s="1"/>
  <c r="N11" i="27"/>
  <c r="O10" i="27"/>
  <c r="P10" i="27" s="1"/>
  <c r="R10" i="27" s="1"/>
  <c r="N10" i="27"/>
  <c r="O9" i="27"/>
  <c r="P9" i="27" s="1"/>
  <c r="R9" i="27" s="1"/>
  <c r="N9" i="27"/>
  <c r="O8" i="27"/>
  <c r="P8" i="27" s="1"/>
  <c r="N8" i="27"/>
  <c r="W8" i="28" l="1"/>
  <c r="R33" i="27"/>
  <c r="R61" i="27"/>
  <c r="R14" i="27"/>
  <c r="R18" i="27"/>
  <c r="F71" i="27" s="1"/>
  <c r="R42" i="27"/>
  <c r="R19" i="27"/>
  <c r="R23" i="27"/>
  <c r="R31" i="27"/>
  <c r="R35" i="27"/>
  <c r="R43" i="27"/>
  <c r="R59" i="27"/>
  <c r="R63" i="27"/>
  <c r="R25" i="27"/>
  <c r="Z8" i="28"/>
  <c r="Q16" i="27"/>
  <c r="R30" i="27"/>
  <c r="R39" i="27"/>
  <c r="R54" i="27"/>
  <c r="R62" i="27"/>
  <c r="R21" i="27"/>
  <c r="R10" i="28"/>
  <c r="R11" i="28" s="1"/>
  <c r="F10" i="28"/>
  <c r="F11" i="28" s="1"/>
  <c r="T8" i="28"/>
  <c r="R12" i="27"/>
  <c r="U8" i="28"/>
  <c r="X8" i="28"/>
  <c r="R8" i="27"/>
  <c r="F70" i="27" s="1"/>
  <c r="Y8" i="28"/>
  <c r="I10" i="10"/>
  <c r="N10" i="10"/>
  <c r="I11" i="10"/>
  <c r="N11" i="10"/>
  <c r="I7" i="10"/>
  <c r="N7" i="10"/>
  <c r="O11" i="10"/>
  <c r="O10" i="10"/>
  <c r="R58" i="27"/>
  <c r="F75" i="27" s="1"/>
  <c r="R22" i="27"/>
  <c r="R50" i="27"/>
  <c r="R45" i="27"/>
  <c r="P16" i="27"/>
  <c r="R41" i="27"/>
  <c r="R13" i="27"/>
  <c r="R53" i="27"/>
  <c r="R49" i="27"/>
  <c r="R34" i="27"/>
  <c r="R52" i="27"/>
  <c r="R40" i="27"/>
  <c r="R64" i="27"/>
  <c r="R32" i="27"/>
  <c r="R20" i="27"/>
  <c r="R11" i="27"/>
  <c r="N66" i="27"/>
  <c r="R48" i="27"/>
  <c r="F74" i="27" s="1"/>
  <c r="R44" i="27"/>
  <c r="R46" i="27" s="1"/>
  <c r="G73" i="27" s="1"/>
  <c r="R60" i="27"/>
  <c r="R28" i="27"/>
  <c r="F72" i="27" s="1"/>
  <c r="R24" i="27"/>
  <c r="R15" i="27"/>
  <c r="O26" i="27"/>
  <c r="P26" i="27" s="1"/>
  <c r="N46" i="27"/>
  <c r="N56" i="27"/>
  <c r="O36" i="27"/>
  <c r="P36" i="27" s="1"/>
  <c r="O56" i="27"/>
  <c r="P56" i="27" s="1"/>
  <c r="O16" i="27"/>
  <c r="O66" i="27"/>
  <c r="P66" i="27" s="1"/>
  <c r="O46" i="27"/>
  <c r="P46" i="27" s="1"/>
  <c r="R16" i="27" l="1"/>
  <c r="G70" i="27" s="1"/>
  <c r="R26" i="27"/>
  <c r="G71" i="27" s="1"/>
  <c r="R36" i="27"/>
  <c r="G72" i="27" s="1"/>
  <c r="R66" i="27"/>
  <c r="G75" i="27" s="1"/>
  <c r="Q11" i="10"/>
  <c r="N38" i="10"/>
  <c r="Q10" i="10"/>
  <c r="N37" i="10"/>
  <c r="Q7" i="10"/>
  <c r="N34" i="10"/>
  <c r="R56" i="27"/>
  <c r="G74" i="27" s="1"/>
  <c r="Q37" i="10" l="1"/>
  <c r="O37" i="10"/>
  <c r="P37" i="10"/>
  <c r="Q34" i="10"/>
  <c r="R38" i="10"/>
  <c r="R37" i="10"/>
  <c r="O34" i="10"/>
  <c r="P34" i="10"/>
  <c r="Q38" i="10"/>
  <c r="O38" i="10"/>
  <c r="P38" i="10"/>
  <c r="D138" i="22"/>
  <c r="D137" i="22"/>
  <c r="D297" i="26"/>
  <c r="D289" i="26" s="1"/>
  <c r="CT293" i="26"/>
  <c r="CZ290" i="26"/>
  <c r="CX290" i="26"/>
  <c r="CV290" i="26"/>
  <c r="CT290" i="26"/>
  <c r="CR290" i="26"/>
  <c r="CP290" i="26"/>
  <c r="CN290" i="26"/>
  <c r="CL290" i="26"/>
  <c r="CJ290" i="26"/>
  <c r="CH290" i="26"/>
  <c r="CF290" i="26"/>
  <c r="CD290" i="26"/>
  <c r="CB290" i="26"/>
  <c r="BZ290" i="26"/>
  <c r="BX290" i="26"/>
  <c r="DC290" i="26" s="1"/>
  <c r="BV290" i="26"/>
  <c r="BT290" i="26"/>
  <c r="BR290" i="26"/>
  <c r="BP290" i="26"/>
  <c r="BN290" i="26"/>
  <c r="BL290" i="26"/>
  <c r="BJ290" i="26"/>
  <c r="BF290" i="26"/>
  <c r="BD290" i="26"/>
  <c r="BB290" i="26"/>
  <c r="AZ290" i="26"/>
  <c r="AX290" i="26"/>
  <c r="AV290" i="26"/>
  <c r="AT290" i="26"/>
  <c r="AR290" i="26"/>
  <c r="AP290" i="26"/>
  <c r="AN290" i="26"/>
  <c r="AL290" i="26"/>
  <c r="AJ290" i="26"/>
  <c r="AH290" i="26"/>
  <c r="AF290" i="26"/>
  <c r="AD290" i="26"/>
  <c r="AB290" i="26"/>
  <c r="Z290" i="26"/>
  <c r="X290" i="26"/>
  <c r="V290" i="26"/>
  <c r="T290" i="26"/>
  <c r="R290" i="26"/>
  <c r="P290" i="26"/>
  <c r="N290" i="26"/>
  <c r="L290" i="26"/>
  <c r="J290" i="26"/>
  <c r="H290" i="26"/>
  <c r="F290" i="26"/>
  <c r="D290" i="26"/>
  <c r="B290" i="26"/>
  <c r="CZ289" i="26"/>
  <c r="CX289" i="26"/>
  <c r="CV289" i="26"/>
  <c r="CT289" i="26"/>
  <c r="CR289" i="26"/>
  <c r="CP289" i="26"/>
  <c r="CN289" i="26"/>
  <c r="CL289" i="26"/>
  <c r="CJ289" i="26"/>
  <c r="CH289" i="26"/>
  <c r="CF289" i="26"/>
  <c r="CD289" i="26"/>
  <c r="CB289" i="26"/>
  <c r="BZ289" i="26"/>
  <c r="BX289" i="26"/>
  <c r="DC289" i="26" s="1"/>
  <c r="BV289" i="26"/>
  <c r="BT289" i="26"/>
  <c r="BR289" i="26"/>
  <c r="BP289" i="26"/>
  <c r="BN289" i="26"/>
  <c r="BL289" i="26"/>
  <c r="BJ289" i="26"/>
  <c r="BH289" i="26"/>
  <c r="BF289" i="26"/>
  <c r="BD289" i="26"/>
  <c r="BB289" i="26"/>
  <c r="AZ289" i="26"/>
  <c r="AX289" i="26"/>
  <c r="AV289" i="26"/>
  <c r="AT289" i="26"/>
  <c r="AR289" i="26"/>
  <c r="AP289" i="26"/>
  <c r="AN289" i="26"/>
  <c r="AL289" i="26"/>
  <c r="AJ289" i="26"/>
  <c r="AH289" i="26"/>
  <c r="AF289" i="26"/>
  <c r="AD289" i="26"/>
  <c r="AB289" i="26"/>
  <c r="Z289" i="26"/>
  <c r="X289" i="26"/>
  <c r="V289" i="26"/>
  <c r="T289" i="26"/>
  <c r="R289" i="26"/>
  <c r="P289" i="26"/>
  <c r="N289" i="26"/>
  <c r="L289" i="26"/>
  <c r="J289" i="26"/>
  <c r="H289" i="26"/>
  <c r="F289" i="26"/>
  <c r="B289" i="26"/>
  <c r="CZ288" i="26"/>
  <c r="CX288" i="26"/>
  <c r="CV288" i="26"/>
  <c r="CT288" i="26"/>
  <c r="CR288" i="26"/>
  <c r="CP288" i="26"/>
  <c r="CN288" i="26"/>
  <c r="CL288" i="26"/>
  <c r="CJ288" i="26"/>
  <c r="CH288" i="26"/>
  <c r="CF288" i="26"/>
  <c r="CD288" i="26"/>
  <c r="CB288" i="26"/>
  <c r="BZ288" i="26"/>
  <c r="BX288" i="26"/>
  <c r="DC288" i="26" s="1"/>
  <c r="BV288" i="26"/>
  <c r="BT288" i="26"/>
  <c r="BR288" i="26"/>
  <c r="BP288" i="26"/>
  <c r="BN288" i="26"/>
  <c r="BL288" i="26"/>
  <c r="BJ288" i="26"/>
  <c r="BH288" i="26"/>
  <c r="BF288" i="26"/>
  <c r="BD288" i="26"/>
  <c r="BB288" i="26"/>
  <c r="AZ288" i="26"/>
  <c r="AX288" i="26"/>
  <c r="AV288" i="26"/>
  <c r="AT288" i="26"/>
  <c r="AR288" i="26"/>
  <c r="AP288" i="26"/>
  <c r="AN288" i="26"/>
  <c r="AL288" i="26"/>
  <c r="AJ288" i="26"/>
  <c r="AH288" i="26"/>
  <c r="AF288" i="26"/>
  <c r="AD288" i="26"/>
  <c r="AB288" i="26"/>
  <c r="Z288" i="26"/>
  <c r="X288" i="26"/>
  <c r="V288" i="26"/>
  <c r="T288" i="26"/>
  <c r="R288" i="26"/>
  <c r="P288" i="26"/>
  <c r="N288" i="26"/>
  <c r="L288" i="26"/>
  <c r="J288" i="26"/>
  <c r="H288" i="26"/>
  <c r="F288" i="26"/>
  <c r="D288" i="26"/>
  <c r="B288" i="26"/>
  <c r="CZ287" i="26"/>
  <c r="CX287" i="26"/>
  <c r="CV287" i="26"/>
  <c r="CT287" i="26"/>
  <c r="CR287" i="26"/>
  <c r="CP287" i="26"/>
  <c r="CN287" i="26"/>
  <c r="CL287" i="26"/>
  <c r="CJ287" i="26"/>
  <c r="CH287" i="26"/>
  <c r="CF287" i="26"/>
  <c r="CD287" i="26"/>
  <c r="CB287" i="26"/>
  <c r="BZ287" i="26"/>
  <c r="BX287" i="26"/>
  <c r="DC287" i="26" s="1"/>
  <c r="BV287" i="26"/>
  <c r="BT287" i="26"/>
  <c r="BR287" i="26"/>
  <c r="BP287" i="26"/>
  <c r="BN287" i="26"/>
  <c r="BL287" i="26"/>
  <c r="BJ287" i="26"/>
  <c r="BH287" i="26"/>
  <c r="BF287" i="26"/>
  <c r="BD287" i="26"/>
  <c r="BB287" i="26"/>
  <c r="AZ287" i="26"/>
  <c r="AX287" i="26"/>
  <c r="AV287" i="26"/>
  <c r="AT287" i="26"/>
  <c r="AR287" i="26"/>
  <c r="AP287" i="26"/>
  <c r="AN287" i="26"/>
  <c r="AL287" i="26"/>
  <c r="AJ287" i="26"/>
  <c r="AH287" i="26"/>
  <c r="AF287" i="26"/>
  <c r="AD287" i="26"/>
  <c r="AB287" i="26"/>
  <c r="Z287" i="26"/>
  <c r="X287" i="26"/>
  <c r="V287" i="26"/>
  <c r="T287" i="26"/>
  <c r="R287" i="26"/>
  <c r="P287" i="26"/>
  <c r="N287" i="26"/>
  <c r="L287" i="26"/>
  <c r="J287" i="26"/>
  <c r="H287" i="26"/>
  <c r="F287" i="26"/>
  <c r="B287" i="26"/>
  <c r="CZ286" i="26"/>
  <c r="CX286" i="26"/>
  <c r="CV286" i="26"/>
  <c r="CT286" i="26"/>
  <c r="CR286" i="26"/>
  <c r="CP286" i="26"/>
  <c r="CN286" i="26"/>
  <c r="CL286" i="26"/>
  <c r="CJ286" i="26"/>
  <c r="CH286" i="26"/>
  <c r="CF286" i="26"/>
  <c r="CD286" i="26"/>
  <c r="CB286" i="26"/>
  <c r="BZ286" i="26"/>
  <c r="BX286" i="26"/>
  <c r="DC286" i="26" s="1"/>
  <c r="BV286" i="26"/>
  <c r="BT286" i="26"/>
  <c r="BR286" i="26"/>
  <c r="BP286" i="26"/>
  <c r="BN286" i="26"/>
  <c r="BL286" i="26"/>
  <c r="BJ286" i="26"/>
  <c r="BH286" i="26"/>
  <c r="BF286" i="26"/>
  <c r="BD286" i="26"/>
  <c r="BB286" i="26"/>
  <c r="AZ286" i="26"/>
  <c r="AX286" i="26"/>
  <c r="AV286" i="26"/>
  <c r="AT286" i="26"/>
  <c r="AR286" i="26"/>
  <c r="AP286" i="26"/>
  <c r="AN286" i="26"/>
  <c r="AL286" i="26"/>
  <c r="AJ286" i="26"/>
  <c r="AH286" i="26"/>
  <c r="AF286" i="26"/>
  <c r="AD286" i="26"/>
  <c r="AB286" i="26"/>
  <c r="Z286" i="26"/>
  <c r="X286" i="26"/>
  <c r="V286" i="26"/>
  <c r="T286" i="26"/>
  <c r="R286" i="26"/>
  <c r="P286" i="26"/>
  <c r="N286" i="26"/>
  <c r="L286" i="26"/>
  <c r="J286" i="26"/>
  <c r="H286" i="26"/>
  <c r="F286" i="26"/>
  <c r="D286" i="26"/>
  <c r="B286" i="26"/>
  <c r="CZ285" i="26"/>
  <c r="CX285" i="26"/>
  <c r="CV285" i="26"/>
  <c r="CT285" i="26"/>
  <c r="CR285" i="26"/>
  <c r="CP285" i="26"/>
  <c r="CN285" i="26"/>
  <c r="CL285" i="26"/>
  <c r="CJ285" i="26"/>
  <c r="CH285" i="26"/>
  <c r="CF285" i="26"/>
  <c r="CD285" i="26"/>
  <c r="CB285" i="26"/>
  <c r="BZ285" i="26"/>
  <c r="BX285" i="26"/>
  <c r="DC285" i="26" s="1"/>
  <c r="BV285" i="26"/>
  <c r="BT285" i="26"/>
  <c r="BR285" i="26"/>
  <c r="BP285" i="26"/>
  <c r="BN285" i="26"/>
  <c r="BL285" i="26"/>
  <c r="BJ285" i="26"/>
  <c r="BH285" i="26"/>
  <c r="BF285" i="26"/>
  <c r="BD285" i="26"/>
  <c r="BB285" i="26"/>
  <c r="AZ285" i="26"/>
  <c r="AX285" i="26"/>
  <c r="AV285" i="26"/>
  <c r="AT285" i="26"/>
  <c r="AR285" i="26"/>
  <c r="AP285" i="26"/>
  <c r="AN285" i="26"/>
  <c r="AL285" i="26"/>
  <c r="AJ285" i="26"/>
  <c r="AH285" i="26"/>
  <c r="AF285" i="26"/>
  <c r="AD285" i="26"/>
  <c r="AB285" i="26"/>
  <c r="Z285" i="26"/>
  <c r="X285" i="26"/>
  <c r="V285" i="26"/>
  <c r="T285" i="26"/>
  <c r="R285" i="26"/>
  <c r="P285" i="26"/>
  <c r="N285" i="26"/>
  <c r="L285" i="26"/>
  <c r="J285" i="26"/>
  <c r="H285" i="26"/>
  <c r="F285" i="26"/>
  <c r="D285" i="26"/>
  <c r="B285" i="26"/>
  <c r="CZ284" i="26"/>
  <c r="CX284" i="26"/>
  <c r="CV284" i="26"/>
  <c r="CT284" i="26"/>
  <c r="CR284" i="26"/>
  <c r="CP284" i="26"/>
  <c r="CN284" i="26"/>
  <c r="CL284" i="26"/>
  <c r="CJ284" i="26"/>
  <c r="CH284" i="26"/>
  <c r="CF284" i="26"/>
  <c r="CD284" i="26"/>
  <c r="CB284" i="26"/>
  <c r="BZ284" i="26"/>
  <c r="BX284" i="26"/>
  <c r="DC284" i="26" s="1"/>
  <c r="BV284" i="26"/>
  <c r="BT284" i="26"/>
  <c r="BR284" i="26"/>
  <c r="BP284" i="26"/>
  <c r="BN284" i="26"/>
  <c r="BL284" i="26"/>
  <c r="BJ284" i="26"/>
  <c r="BH284" i="26"/>
  <c r="BF284" i="26"/>
  <c r="BD284" i="26"/>
  <c r="BB284" i="26"/>
  <c r="AZ284" i="26"/>
  <c r="AX284" i="26"/>
  <c r="AV284" i="26"/>
  <c r="AT284" i="26"/>
  <c r="AR284" i="26"/>
  <c r="AP284" i="26"/>
  <c r="AN284" i="26"/>
  <c r="AL284" i="26"/>
  <c r="AJ284" i="26"/>
  <c r="AH284" i="26"/>
  <c r="AF284" i="26"/>
  <c r="AD284" i="26"/>
  <c r="AB284" i="26"/>
  <c r="Z284" i="26"/>
  <c r="X284" i="26"/>
  <c r="V284" i="26"/>
  <c r="T284" i="26"/>
  <c r="R284" i="26"/>
  <c r="P284" i="26"/>
  <c r="N284" i="26"/>
  <c r="L284" i="26"/>
  <c r="J284" i="26"/>
  <c r="H284" i="26"/>
  <c r="F284" i="26"/>
  <c r="D284" i="26"/>
  <c r="B284" i="26"/>
  <c r="CZ283" i="26"/>
  <c r="CX283" i="26"/>
  <c r="CV283" i="26"/>
  <c r="CT283" i="26"/>
  <c r="CR283" i="26"/>
  <c r="CP283" i="26"/>
  <c r="CN283" i="26"/>
  <c r="CL283" i="26"/>
  <c r="CJ283" i="26"/>
  <c r="CH283" i="26"/>
  <c r="CF283" i="26"/>
  <c r="CD283" i="26"/>
  <c r="CB283" i="26"/>
  <c r="BZ283" i="26"/>
  <c r="BX283" i="26"/>
  <c r="DC283" i="26" s="1"/>
  <c r="BV283" i="26"/>
  <c r="BT283" i="26"/>
  <c r="BR283" i="26"/>
  <c r="BP283" i="26"/>
  <c r="BN283" i="26"/>
  <c r="BL283" i="26"/>
  <c r="BJ283" i="26"/>
  <c r="BH283" i="26"/>
  <c r="BF283" i="26"/>
  <c r="BD283" i="26"/>
  <c r="BB283" i="26"/>
  <c r="AZ283" i="26"/>
  <c r="AX283" i="26"/>
  <c r="AV283" i="26"/>
  <c r="AT283" i="26"/>
  <c r="AR283" i="26"/>
  <c r="AP283" i="26"/>
  <c r="AN283" i="26"/>
  <c r="AL283" i="26"/>
  <c r="AJ283" i="26"/>
  <c r="AH283" i="26"/>
  <c r="AF283" i="26"/>
  <c r="AD283" i="26"/>
  <c r="AB283" i="26"/>
  <c r="Z283" i="26"/>
  <c r="X283" i="26"/>
  <c r="V283" i="26"/>
  <c r="T283" i="26"/>
  <c r="R283" i="26"/>
  <c r="P283" i="26"/>
  <c r="N283" i="26"/>
  <c r="L283" i="26"/>
  <c r="J283" i="26"/>
  <c r="H283" i="26"/>
  <c r="F283" i="26"/>
  <c r="B283" i="26"/>
  <c r="CZ282" i="26"/>
  <c r="CX282" i="26"/>
  <c r="CV282" i="26"/>
  <c r="CT282" i="26"/>
  <c r="CR282" i="26"/>
  <c r="CP282" i="26"/>
  <c r="CN282" i="26"/>
  <c r="CL282" i="26"/>
  <c r="CJ282" i="26"/>
  <c r="CH282" i="26"/>
  <c r="CF282" i="26"/>
  <c r="CD282" i="26"/>
  <c r="CB282" i="26"/>
  <c r="BZ282" i="26"/>
  <c r="BX282" i="26"/>
  <c r="DC282" i="26" s="1"/>
  <c r="BV282" i="26"/>
  <c r="BT282" i="26"/>
  <c r="BR282" i="26"/>
  <c r="BP282" i="26"/>
  <c r="BN282" i="26"/>
  <c r="BL282" i="26"/>
  <c r="BJ282" i="26"/>
  <c r="BH282" i="26"/>
  <c r="BF282" i="26"/>
  <c r="BD282" i="26"/>
  <c r="BB282" i="26"/>
  <c r="AZ282" i="26"/>
  <c r="AX282" i="26"/>
  <c r="AV282" i="26"/>
  <c r="AT282" i="26"/>
  <c r="AR282" i="26"/>
  <c r="AP282" i="26"/>
  <c r="AN282" i="26"/>
  <c r="AL282" i="26"/>
  <c r="AJ282" i="26"/>
  <c r="AH282" i="26"/>
  <c r="AF282" i="26"/>
  <c r="AD282" i="26"/>
  <c r="AB282" i="26"/>
  <c r="Z282" i="26"/>
  <c r="X282" i="26"/>
  <c r="V282" i="26"/>
  <c r="T282" i="26"/>
  <c r="R282" i="26"/>
  <c r="P282" i="26"/>
  <c r="N282" i="26"/>
  <c r="L282" i="26"/>
  <c r="J282" i="26"/>
  <c r="H282" i="26"/>
  <c r="F282" i="26"/>
  <c r="D282" i="26"/>
  <c r="B282" i="26"/>
  <c r="CZ281" i="26"/>
  <c r="CX281" i="26"/>
  <c r="CV281" i="26"/>
  <c r="CT281" i="26"/>
  <c r="CR281" i="26"/>
  <c r="CP281" i="26"/>
  <c r="CN281" i="26"/>
  <c r="CL281" i="26"/>
  <c r="CJ281" i="26"/>
  <c r="CH281" i="26"/>
  <c r="CF281" i="26"/>
  <c r="CD281" i="26"/>
  <c r="CB281" i="26"/>
  <c r="BZ281" i="26"/>
  <c r="BX281" i="26"/>
  <c r="DC281" i="26" s="1"/>
  <c r="BV281" i="26"/>
  <c r="BT281" i="26"/>
  <c r="BR281" i="26"/>
  <c r="BP281" i="26"/>
  <c r="BN281" i="26"/>
  <c r="BL281" i="26"/>
  <c r="BJ281" i="26"/>
  <c r="BH281" i="26"/>
  <c r="BF281" i="26"/>
  <c r="BD281" i="26"/>
  <c r="BB281" i="26"/>
  <c r="AZ281" i="26"/>
  <c r="AX281" i="26"/>
  <c r="AV281" i="26"/>
  <c r="AT281" i="26"/>
  <c r="AR281" i="26"/>
  <c r="AP281" i="26"/>
  <c r="AN281" i="26"/>
  <c r="AL281" i="26"/>
  <c r="AJ281" i="26"/>
  <c r="AH281" i="26"/>
  <c r="AF281" i="26"/>
  <c r="AD281" i="26"/>
  <c r="AB281" i="26"/>
  <c r="Z281" i="26"/>
  <c r="X281" i="26"/>
  <c r="V281" i="26"/>
  <c r="T281" i="26"/>
  <c r="R281" i="26"/>
  <c r="P281" i="26"/>
  <c r="N281" i="26"/>
  <c r="L281" i="26"/>
  <c r="J281" i="26"/>
  <c r="H281" i="26"/>
  <c r="F281" i="26"/>
  <c r="B281" i="26"/>
  <c r="CZ280" i="26"/>
  <c r="CX280" i="26"/>
  <c r="CV280" i="26"/>
  <c r="CT280" i="26"/>
  <c r="CR280" i="26"/>
  <c r="CP280" i="26"/>
  <c r="CN280" i="26"/>
  <c r="CL280" i="26"/>
  <c r="CJ280" i="26"/>
  <c r="CH280" i="26"/>
  <c r="CF280" i="26"/>
  <c r="CD280" i="26"/>
  <c r="CB280" i="26"/>
  <c r="BZ280" i="26"/>
  <c r="BX280" i="26"/>
  <c r="DC280" i="26" s="1"/>
  <c r="BV280" i="26"/>
  <c r="BT280" i="26"/>
  <c r="BR280" i="26"/>
  <c r="BP280" i="26"/>
  <c r="BN280" i="26"/>
  <c r="BL280" i="26"/>
  <c r="BJ280" i="26"/>
  <c r="BH280" i="26"/>
  <c r="BF280" i="26"/>
  <c r="BD280" i="26"/>
  <c r="BB280" i="26"/>
  <c r="AZ280" i="26"/>
  <c r="AX280" i="26"/>
  <c r="AV280" i="26"/>
  <c r="AT280" i="26"/>
  <c r="AR280" i="26"/>
  <c r="AP280" i="26"/>
  <c r="AN280" i="26"/>
  <c r="AL280" i="26"/>
  <c r="AJ280" i="26"/>
  <c r="AH280" i="26"/>
  <c r="AF280" i="26"/>
  <c r="AD280" i="26"/>
  <c r="AB280" i="26"/>
  <c r="Z280" i="26"/>
  <c r="X280" i="26"/>
  <c r="V280" i="26"/>
  <c r="T280" i="26"/>
  <c r="R280" i="26"/>
  <c r="P280" i="26"/>
  <c r="N280" i="26"/>
  <c r="L280" i="26"/>
  <c r="J280" i="26"/>
  <c r="H280" i="26"/>
  <c r="F280" i="26"/>
  <c r="D280" i="26"/>
  <c r="B280" i="26"/>
  <c r="CZ279" i="26"/>
  <c r="CX279" i="26"/>
  <c r="CV279" i="26"/>
  <c r="CT279" i="26"/>
  <c r="CR279" i="26"/>
  <c r="CP279" i="26"/>
  <c r="CN279" i="26"/>
  <c r="CL279" i="26"/>
  <c r="CJ279" i="26"/>
  <c r="CH279" i="26"/>
  <c r="CF279" i="26"/>
  <c r="CD279" i="26"/>
  <c r="CB279" i="26"/>
  <c r="BZ279" i="26"/>
  <c r="BX279" i="26"/>
  <c r="DC279" i="26" s="1"/>
  <c r="BV279" i="26"/>
  <c r="BT279" i="26"/>
  <c r="BR279" i="26"/>
  <c r="BP279" i="26"/>
  <c r="BN279" i="26"/>
  <c r="BL279" i="26"/>
  <c r="BJ279" i="26"/>
  <c r="BH279" i="26"/>
  <c r="BF279" i="26"/>
  <c r="BD279" i="26"/>
  <c r="BB279" i="26"/>
  <c r="AZ279" i="26"/>
  <c r="AX279" i="26"/>
  <c r="AV279" i="26"/>
  <c r="AT279" i="26"/>
  <c r="AR279" i="26"/>
  <c r="AP279" i="26"/>
  <c r="AN279" i="26"/>
  <c r="AL279" i="26"/>
  <c r="AJ279" i="26"/>
  <c r="AH279" i="26"/>
  <c r="AF279" i="26"/>
  <c r="AD279" i="26"/>
  <c r="AB279" i="26"/>
  <c r="Z279" i="26"/>
  <c r="X279" i="26"/>
  <c r="V279" i="26"/>
  <c r="T279" i="26"/>
  <c r="R279" i="26"/>
  <c r="P279" i="26"/>
  <c r="N279" i="26"/>
  <c r="L279" i="26"/>
  <c r="J279" i="26"/>
  <c r="H279" i="26"/>
  <c r="F279" i="26"/>
  <c r="B279" i="26"/>
  <c r="CZ278" i="26"/>
  <c r="CX278" i="26"/>
  <c r="CV278" i="26"/>
  <c r="CT278" i="26"/>
  <c r="CR278" i="26"/>
  <c r="CP278" i="26"/>
  <c r="CN278" i="26"/>
  <c r="CL278" i="26"/>
  <c r="CJ278" i="26"/>
  <c r="CH278" i="26"/>
  <c r="CF278" i="26"/>
  <c r="CD278" i="26"/>
  <c r="CB278" i="26"/>
  <c r="BZ278" i="26"/>
  <c r="BX278" i="26"/>
  <c r="DC278" i="26" s="1"/>
  <c r="BV278" i="26"/>
  <c r="BT278" i="26"/>
  <c r="BR278" i="26"/>
  <c r="BP278" i="26"/>
  <c r="BN278" i="26"/>
  <c r="BL278" i="26"/>
  <c r="BJ278" i="26"/>
  <c r="BH278" i="26"/>
  <c r="BF278" i="26"/>
  <c r="BD278" i="26"/>
  <c r="BB278" i="26"/>
  <c r="AZ278" i="26"/>
  <c r="AX278" i="26"/>
  <c r="AV278" i="26"/>
  <c r="AT278" i="26"/>
  <c r="AR278" i="26"/>
  <c r="AP278" i="26"/>
  <c r="AN278" i="26"/>
  <c r="AL278" i="26"/>
  <c r="AJ278" i="26"/>
  <c r="AH278" i="26"/>
  <c r="AF278" i="26"/>
  <c r="AD278" i="26"/>
  <c r="AB278" i="26"/>
  <c r="Z278" i="26"/>
  <c r="X278" i="26"/>
  <c r="V278" i="26"/>
  <c r="T278" i="26"/>
  <c r="R278" i="26"/>
  <c r="P278" i="26"/>
  <c r="N278" i="26"/>
  <c r="L278" i="26"/>
  <c r="J278" i="26"/>
  <c r="H278" i="26"/>
  <c r="F278" i="26"/>
  <c r="D278" i="26"/>
  <c r="B278" i="26"/>
  <c r="CZ277" i="26"/>
  <c r="CX277" i="26"/>
  <c r="CV277" i="26"/>
  <c r="CT277" i="26"/>
  <c r="CR277" i="26"/>
  <c r="CP277" i="26"/>
  <c r="CN277" i="26"/>
  <c r="CL277" i="26"/>
  <c r="CJ277" i="26"/>
  <c r="CH277" i="26"/>
  <c r="CF277" i="26"/>
  <c r="CD277" i="26"/>
  <c r="CB277" i="26"/>
  <c r="BZ277" i="26"/>
  <c r="BX277" i="26"/>
  <c r="DC277" i="26" s="1"/>
  <c r="BV277" i="26"/>
  <c r="BT277" i="26"/>
  <c r="BR277" i="26"/>
  <c r="BP277" i="26"/>
  <c r="BN277" i="26"/>
  <c r="BL277" i="26"/>
  <c r="BJ277" i="26"/>
  <c r="BH277" i="26"/>
  <c r="BF277" i="26"/>
  <c r="BB277" i="26"/>
  <c r="AZ277" i="26"/>
  <c r="AX277" i="26"/>
  <c r="AV277" i="26"/>
  <c r="AT277" i="26"/>
  <c r="AR277" i="26"/>
  <c r="AP277" i="26"/>
  <c r="AN277" i="26"/>
  <c r="AL277" i="26"/>
  <c r="AJ277" i="26"/>
  <c r="AH277" i="26"/>
  <c r="AF277" i="26"/>
  <c r="AD277" i="26"/>
  <c r="AB277" i="26"/>
  <c r="Z277" i="26"/>
  <c r="X277" i="26"/>
  <c r="V277" i="26"/>
  <c r="T277" i="26"/>
  <c r="R277" i="26"/>
  <c r="P277" i="26"/>
  <c r="N277" i="26"/>
  <c r="L277" i="26"/>
  <c r="J277" i="26"/>
  <c r="H277" i="26"/>
  <c r="F277" i="26"/>
  <c r="D277" i="26"/>
  <c r="B277" i="26"/>
  <c r="CZ276" i="26"/>
  <c r="CX276" i="26"/>
  <c r="CV276" i="26"/>
  <c r="CT276" i="26"/>
  <c r="CR276" i="26"/>
  <c r="CP276" i="26"/>
  <c r="CN276" i="26"/>
  <c r="CL276" i="26"/>
  <c r="CJ276" i="26"/>
  <c r="CH276" i="26"/>
  <c r="CF276" i="26"/>
  <c r="CD276" i="26"/>
  <c r="CB276" i="26"/>
  <c r="BZ276" i="26"/>
  <c r="BX276" i="26"/>
  <c r="DC276" i="26" s="1"/>
  <c r="BV276" i="26"/>
  <c r="BT276" i="26"/>
  <c r="BR276" i="26"/>
  <c r="BP276" i="26"/>
  <c r="BN276" i="26"/>
  <c r="BL276" i="26"/>
  <c r="BJ276" i="26"/>
  <c r="BH276" i="26"/>
  <c r="BF276" i="26"/>
  <c r="BD276" i="26"/>
  <c r="BB276" i="26"/>
  <c r="AZ276" i="26"/>
  <c r="AX276" i="26"/>
  <c r="AV276" i="26"/>
  <c r="AT276" i="26"/>
  <c r="AR276" i="26"/>
  <c r="AP276" i="26"/>
  <c r="AN276" i="26"/>
  <c r="AL276" i="26"/>
  <c r="AJ276" i="26"/>
  <c r="AH276" i="26"/>
  <c r="AF276" i="26"/>
  <c r="AD276" i="26"/>
  <c r="AB276" i="26"/>
  <c r="Z276" i="26"/>
  <c r="X276" i="26"/>
  <c r="V276" i="26"/>
  <c r="T276" i="26"/>
  <c r="R276" i="26"/>
  <c r="P276" i="26"/>
  <c r="N276" i="26"/>
  <c r="L276" i="26"/>
  <c r="J276" i="26"/>
  <c r="H276" i="26"/>
  <c r="F276" i="26"/>
  <c r="D276" i="26"/>
  <c r="B276" i="26"/>
  <c r="CZ275" i="26"/>
  <c r="CX275" i="26"/>
  <c r="CV275" i="26"/>
  <c r="CT275" i="26"/>
  <c r="CR275" i="26"/>
  <c r="CP275" i="26"/>
  <c r="CN275" i="26"/>
  <c r="CL275" i="26"/>
  <c r="CJ275" i="26"/>
  <c r="CH275" i="26"/>
  <c r="CF275" i="26"/>
  <c r="CD275" i="26"/>
  <c r="CB275" i="26"/>
  <c r="BZ275" i="26"/>
  <c r="BX275" i="26"/>
  <c r="DC275" i="26" s="1"/>
  <c r="BV275" i="26"/>
  <c r="BT275" i="26"/>
  <c r="BR275" i="26"/>
  <c r="BP275" i="26"/>
  <c r="BN275" i="26"/>
  <c r="BL275" i="26"/>
  <c r="BJ275" i="26"/>
  <c r="BH275" i="26"/>
  <c r="BF275" i="26"/>
  <c r="BD275" i="26"/>
  <c r="BB275" i="26"/>
  <c r="AZ275" i="26"/>
  <c r="AX275" i="26"/>
  <c r="AV275" i="26"/>
  <c r="AT275" i="26"/>
  <c r="AR275" i="26"/>
  <c r="AP275" i="26"/>
  <c r="AN275" i="26"/>
  <c r="AL275" i="26"/>
  <c r="AJ275" i="26"/>
  <c r="AH275" i="26"/>
  <c r="AF275" i="26"/>
  <c r="AD275" i="26"/>
  <c r="AB275" i="26"/>
  <c r="Z275" i="26"/>
  <c r="X275" i="26"/>
  <c r="V275" i="26"/>
  <c r="T275" i="26"/>
  <c r="R275" i="26"/>
  <c r="P275" i="26"/>
  <c r="N275" i="26"/>
  <c r="L275" i="26"/>
  <c r="J275" i="26"/>
  <c r="H275" i="26"/>
  <c r="F275" i="26"/>
  <c r="D275" i="26"/>
  <c r="B275" i="26"/>
  <c r="CZ274" i="26"/>
  <c r="CX274" i="26"/>
  <c r="CV274" i="26"/>
  <c r="CT274" i="26"/>
  <c r="CR274" i="26"/>
  <c r="CR291" i="26" s="1"/>
  <c r="CP274" i="26"/>
  <c r="CN274" i="26"/>
  <c r="CL274" i="26"/>
  <c r="CJ274" i="26"/>
  <c r="CH274" i="26"/>
  <c r="CF274" i="26"/>
  <c r="CD274" i="26"/>
  <c r="CB274" i="26"/>
  <c r="CB291" i="26" s="1"/>
  <c r="BZ274" i="26"/>
  <c r="BX274" i="26"/>
  <c r="DC274" i="26" s="1"/>
  <c r="BV274" i="26"/>
  <c r="BT274" i="26"/>
  <c r="BR274" i="26"/>
  <c r="BP274" i="26"/>
  <c r="BN274" i="26"/>
  <c r="BL274" i="26"/>
  <c r="BL291" i="26" s="1"/>
  <c r="BJ274" i="26"/>
  <c r="BH274" i="26"/>
  <c r="BF274" i="26"/>
  <c r="BD274" i="26"/>
  <c r="BB274" i="26"/>
  <c r="AZ274" i="26"/>
  <c r="AX274" i="26"/>
  <c r="AV274" i="26"/>
  <c r="AV291" i="26" s="1"/>
  <c r="AT274" i="26"/>
  <c r="AR274" i="26"/>
  <c r="AP274" i="26"/>
  <c r="AN274" i="26"/>
  <c r="AL274" i="26"/>
  <c r="AJ274" i="26"/>
  <c r="AH274" i="26"/>
  <c r="AF274" i="26"/>
  <c r="AF291" i="26" s="1"/>
  <c r="AD274" i="26"/>
  <c r="AB274" i="26"/>
  <c r="Z274" i="26"/>
  <c r="X274" i="26"/>
  <c r="V274" i="26"/>
  <c r="T274" i="26"/>
  <c r="R274" i="26"/>
  <c r="P274" i="26"/>
  <c r="P291" i="26" s="1"/>
  <c r="N274" i="26"/>
  <c r="L274" i="26"/>
  <c r="J274" i="26"/>
  <c r="H274" i="26"/>
  <c r="F274" i="26"/>
  <c r="D274" i="26"/>
  <c r="B274" i="26"/>
  <c r="DC256" i="26"/>
  <c r="DC255" i="26"/>
  <c r="DC254" i="26"/>
  <c r="DC253" i="26"/>
  <c r="DC252" i="26"/>
  <c r="BV251" i="26"/>
  <c r="T251" i="26"/>
  <c r="DC249" i="26"/>
  <c r="DC248" i="26"/>
  <c r="DC247" i="26"/>
  <c r="AZ246" i="26"/>
  <c r="T246" i="26"/>
  <c r="DC237" i="26"/>
  <c r="DC236" i="26"/>
  <c r="DC235" i="26"/>
  <c r="DC234" i="26"/>
  <c r="DC233" i="26"/>
  <c r="DC232" i="26"/>
  <c r="DC231" i="26"/>
  <c r="DC230" i="26"/>
  <c r="DC229" i="26"/>
  <c r="DC228" i="26"/>
  <c r="DC227" i="26"/>
  <c r="DC226" i="26"/>
  <c r="DC225" i="26"/>
  <c r="DC224" i="26"/>
  <c r="DC223" i="26"/>
  <c r="DC222" i="26"/>
  <c r="DC221" i="26"/>
  <c r="DC220" i="26"/>
  <c r="DC219" i="26"/>
  <c r="DC218" i="26"/>
  <c r="DC215" i="26"/>
  <c r="DC214" i="26"/>
  <c r="DC213" i="26"/>
  <c r="DC212" i="26"/>
  <c r="DC211" i="26"/>
  <c r="DC210" i="26"/>
  <c r="DC209" i="26"/>
  <c r="DC208" i="26"/>
  <c r="DC207" i="26"/>
  <c r="DC206" i="26"/>
  <c r="DC205" i="26"/>
  <c r="DC204" i="26"/>
  <c r="DC203" i="26"/>
  <c r="DC200" i="26"/>
  <c r="DC199" i="26"/>
  <c r="DC198" i="26"/>
  <c r="DC197" i="26"/>
  <c r="DC196" i="26"/>
  <c r="DC195" i="26"/>
  <c r="DC194" i="26"/>
  <c r="DC193" i="26"/>
  <c r="DC192" i="26"/>
  <c r="DC189" i="26"/>
  <c r="DC188" i="26"/>
  <c r="DC187" i="26"/>
  <c r="DC186" i="26"/>
  <c r="DC185" i="26"/>
  <c r="DC184" i="26"/>
  <c r="DC183" i="26"/>
  <c r="DC182" i="26"/>
  <c r="DC181" i="26"/>
  <c r="DC180" i="26"/>
  <c r="DC179" i="26"/>
  <c r="DC178" i="26"/>
  <c r="DC177" i="26"/>
  <c r="DC176" i="26"/>
  <c r="DC175" i="26"/>
  <c r="DC172" i="26"/>
  <c r="DC171" i="26"/>
  <c r="DC170" i="26"/>
  <c r="DC169" i="26"/>
  <c r="DC168" i="26"/>
  <c r="DC165" i="26"/>
  <c r="DC164" i="26"/>
  <c r="DC163" i="26"/>
  <c r="DC162" i="26"/>
  <c r="DC161" i="26"/>
  <c r="DC160" i="26"/>
  <c r="DC159" i="26"/>
  <c r="DC158" i="26"/>
  <c r="DC155" i="26"/>
  <c r="DC154" i="26"/>
  <c r="DC153" i="26"/>
  <c r="DC152" i="26"/>
  <c r="DC151" i="26"/>
  <c r="DC150" i="26"/>
  <c r="DC149" i="26"/>
  <c r="DC148" i="26"/>
  <c r="DC147" i="26"/>
  <c r="DC144" i="26"/>
  <c r="DC143" i="26"/>
  <c r="DC142" i="26"/>
  <c r="DC141" i="26"/>
  <c r="DC140" i="26"/>
  <c r="DC139" i="26"/>
  <c r="DC138" i="26"/>
  <c r="DC137" i="26"/>
  <c r="DC136" i="26"/>
  <c r="DC135" i="26"/>
  <c r="DC134" i="26"/>
  <c r="DC132" i="26"/>
  <c r="DC131" i="26"/>
  <c r="DC130" i="26"/>
  <c r="DC129" i="26"/>
  <c r="DC128" i="26"/>
  <c r="DC127" i="26"/>
  <c r="DC126" i="26"/>
  <c r="DC125" i="26"/>
  <c r="DC124" i="26"/>
  <c r="DC123" i="26"/>
  <c r="DC122" i="26"/>
  <c r="DC121" i="26"/>
  <c r="DC120" i="26"/>
  <c r="DC119" i="26"/>
  <c r="DC118" i="26"/>
  <c r="DC117" i="26"/>
  <c r="DC116" i="26"/>
  <c r="DC115" i="26"/>
  <c r="DC114" i="26"/>
  <c r="DC113" i="26"/>
  <c r="DC112" i="26"/>
  <c r="DC111" i="26"/>
  <c r="DC110" i="26"/>
  <c r="DC106" i="26"/>
  <c r="DC105" i="26"/>
  <c r="DC104" i="26"/>
  <c r="DC103" i="26"/>
  <c r="DC102" i="26"/>
  <c r="DC101" i="26"/>
  <c r="DC100" i="26"/>
  <c r="DC99" i="26"/>
  <c r="DC98" i="26"/>
  <c r="DC97" i="26"/>
  <c r="DC96" i="26"/>
  <c r="DC95" i="26"/>
  <c r="DC93" i="26"/>
  <c r="DC92" i="26"/>
  <c r="DC91" i="26"/>
  <c r="DC90" i="26"/>
  <c r="DC89" i="26"/>
  <c r="DC88" i="26"/>
  <c r="DC87" i="26"/>
  <c r="DC86" i="26"/>
  <c r="DC82" i="26"/>
  <c r="DC81" i="26"/>
  <c r="DC80" i="26"/>
  <c r="DC79" i="26"/>
  <c r="DC78" i="26"/>
  <c r="DC77" i="26"/>
  <c r="DC76" i="26"/>
  <c r="DC75" i="26"/>
  <c r="BD72" i="26"/>
  <c r="DC72" i="26" s="1"/>
  <c r="DC71" i="26"/>
  <c r="DC70" i="26"/>
  <c r="BD70" i="26"/>
  <c r="BD69" i="26"/>
  <c r="DC69" i="26" s="1"/>
  <c r="BD68" i="26"/>
  <c r="DC68" i="26" s="1"/>
  <c r="DC67" i="26"/>
  <c r="DC66" i="26"/>
  <c r="DC65" i="26"/>
  <c r="BD63" i="26"/>
  <c r="DC63" i="26" s="1"/>
  <c r="DC62" i="26"/>
  <c r="BD61" i="26"/>
  <c r="DC61" i="26" s="1"/>
  <c r="BD60" i="26"/>
  <c r="DC60" i="26" s="1"/>
  <c r="BD59" i="26"/>
  <c r="DC59" i="26" s="1"/>
  <c r="DC58" i="26"/>
  <c r="DC57" i="26"/>
  <c r="DC56" i="26"/>
  <c r="DC53" i="26"/>
  <c r="DC52" i="26"/>
  <c r="DC51" i="26"/>
  <c r="DC50" i="26"/>
  <c r="DC49" i="26"/>
  <c r="DC48" i="26"/>
  <c r="DC47" i="26"/>
  <c r="DC46" i="26"/>
  <c r="DC45" i="26"/>
  <c r="DC44" i="26"/>
  <c r="DC41" i="26"/>
  <c r="DC40" i="26"/>
  <c r="DC39" i="26"/>
  <c r="DC38" i="26"/>
  <c r="DC37" i="26"/>
  <c r="DC34" i="26"/>
  <c r="DC33" i="26"/>
  <c r="DC32" i="26"/>
  <c r="DC31" i="26"/>
  <c r="DC28" i="26"/>
  <c r="DC27" i="26"/>
  <c r="DC26" i="26"/>
  <c r="DC25" i="26"/>
  <c r="DC22" i="26"/>
  <c r="DC21" i="26"/>
  <c r="DC20" i="26"/>
  <c r="DC19" i="26"/>
  <c r="DC18" i="26"/>
  <c r="DC14" i="26"/>
  <c r="L291" i="26" l="1"/>
  <c r="AB291" i="26"/>
  <c r="AR291" i="26"/>
  <c r="BH291" i="26"/>
  <c r="CN291" i="26"/>
  <c r="N291" i="26"/>
  <c r="AD291" i="26"/>
  <c r="AT291" i="26"/>
  <c r="BJ291" i="26"/>
  <c r="BZ291" i="26"/>
  <c r="CP291" i="26"/>
  <c r="BB291" i="26"/>
  <c r="DD289" i="26"/>
  <c r="F291" i="26"/>
  <c r="V291" i="26"/>
  <c r="AL291" i="26"/>
  <c r="BR291" i="26"/>
  <c r="CH291" i="26"/>
  <c r="CX291" i="26"/>
  <c r="AH291" i="26"/>
  <c r="CT291" i="26"/>
  <c r="R291" i="26"/>
  <c r="BN291" i="26"/>
  <c r="DD278" i="26"/>
  <c r="DD280" i="26"/>
  <c r="DD288" i="26"/>
  <c r="AJ291" i="26"/>
  <c r="CF291" i="26"/>
  <c r="AX291" i="26"/>
  <c r="DD282" i="26"/>
  <c r="DD284" i="26"/>
  <c r="DD286" i="26"/>
  <c r="T291" i="26"/>
  <c r="AZ291" i="26"/>
  <c r="BP291" i="26"/>
  <c r="DD290" i="26"/>
  <c r="H291" i="26"/>
  <c r="X291" i="26"/>
  <c r="AN291" i="26"/>
  <c r="BT291" i="26"/>
  <c r="CJ291" i="26"/>
  <c r="CZ291" i="26"/>
  <c r="B291" i="26"/>
  <c r="CD291" i="26"/>
  <c r="CV291" i="26"/>
  <c r="DD276" i="26"/>
  <c r="DC251" i="26"/>
  <c r="BD277" i="26"/>
  <c r="BD291" i="26" s="1"/>
  <c r="DC246" i="26"/>
  <c r="J291" i="26"/>
  <c r="Z291" i="26"/>
  <c r="AP291" i="26"/>
  <c r="BF291" i="26"/>
  <c r="BV291" i="26"/>
  <c r="CL291" i="26"/>
  <c r="D279" i="26"/>
  <c r="DD279" i="26" s="1"/>
  <c r="D281" i="26"/>
  <c r="DD281" i="26" s="1"/>
  <c r="D283" i="26"/>
  <c r="DD283" i="26" s="1"/>
  <c r="DD285" i="26"/>
  <c r="D287" i="26"/>
  <c r="DD287" i="26" s="1"/>
  <c r="DD275" i="26"/>
  <c r="DD274" i="26"/>
  <c r="BX291" i="26"/>
  <c r="DC291" i="26" s="1"/>
  <c r="DD277" i="26" l="1"/>
  <c r="D291" i="26"/>
  <c r="DD291" i="26" s="1"/>
  <c r="J74" i="22"/>
  <c r="I74" i="22"/>
  <c r="H74" i="22"/>
  <c r="G74" i="22"/>
  <c r="F74" i="22"/>
  <c r="E74" i="22"/>
  <c r="D74" i="22"/>
  <c r="C74" i="22"/>
  <c r="B74" i="22"/>
  <c r="A74" i="22"/>
  <c r="L73" i="22"/>
  <c r="K73" i="22"/>
  <c r="I73" i="22"/>
  <c r="H73" i="22"/>
  <c r="G73" i="22"/>
  <c r="F73" i="22"/>
  <c r="E73" i="22"/>
  <c r="D73" i="22"/>
  <c r="C73" i="22"/>
  <c r="B73" i="22"/>
  <c r="I72" i="22"/>
  <c r="H72" i="22"/>
  <c r="G72" i="22"/>
  <c r="F72" i="22"/>
  <c r="E72" i="22"/>
  <c r="D72" i="22"/>
  <c r="C72" i="22"/>
  <c r="B72" i="22"/>
  <c r="I71" i="22"/>
  <c r="H71" i="22"/>
  <c r="G71" i="22"/>
  <c r="F71" i="22"/>
  <c r="E71" i="22"/>
  <c r="D71" i="22"/>
  <c r="C71" i="22"/>
  <c r="B71" i="22"/>
  <c r="I70" i="22"/>
  <c r="H70" i="22"/>
  <c r="G70" i="22"/>
  <c r="F70" i="22"/>
  <c r="E70" i="22"/>
  <c r="D70" i="22"/>
  <c r="C70" i="22"/>
  <c r="B70" i="22"/>
  <c r="I69" i="22"/>
  <c r="H69" i="22"/>
  <c r="G69" i="22"/>
  <c r="F69" i="22"/>
  <c r="E69" i="22"/>
  <c r="D69" i="22"/>
  <c r="C69" i="22"/>
  <c r="B69" i="22"/>
  <c r="I68" i="22"/>
  <c r="H68" i="22"/>
  <c r="G68" i="22"/>
  <c r="F68" i="22"/>
  <c r="E68" i="22"/>
  <c r="D68" i="22"/>
  <c r="C68" i="22"/>
  <c r="B68" i="22"/>
  <c r="I67" i="22"/>
  <c r="H67" i="22"/>
  <c r="G67" i="22"/>
  <c r="F67" i="22"/>
  <c r="E67" i="22"/>
  <c r="D67" i="22"/>
  <c r="C67" i="22"/>
  <c r="B67" i="22"/>
  <c r="A73" i="22"/>
  <c r="A72" i="22"/>
  <c r="A71" i="22"/>
  <c r="D8" i="10" l="1"/>
  <c r="D9" i="10"/>
  <c r="F9" i="10" l="1"/>
  <c r="H9" i="10"/>
  <c r="P9" i="10" s="1"/>
  <c r="F8" i="10"/>
  <c r="H8" i="10"/>
  <c r="P8" i="10" s="1"/>
  <c r="G8" i="10"/>
  <c r="G9" i="10"/>
  <c r="A70" i="22"/>
  <c r="A69" i="22"/>
  <c r="A68" i="22"/>
  <c r="A67" i="22"/>
  <c r="I64" i="22"/>
  <c r="H64" i="22"/>
  <c r="G64" i="22"/>
  <c r="F64" i="22"/>
  <c r="E64" i="22"/>
  <c r="D64" i="22"/>
  <c r="C64" i="22"/>
  <c r="B64" i="22"/>
  <c r="I63" i="22"/>
  <c r="H63" i="22"/>
  <c r="G63" i="22"/>
  <c r="F63" i="22"/>
  <c r="E63" i="22"/>
  <c r="D63" i="22"/>
  <c r="C63" i="22"/>
  <c r="B63" i="22"/>
  <c r="L57" i="22"/>
  <c r="K57" i="22"/>
  <c r="L56" i="22"/>
  <c r="L72" i="22" s="1"/>
  <c r="K56" i="22"/>
  <c r="K72" i="22" s="1"/>
  <c r="L55" i="22"/>
  <c r="K55" i="22"/>
  <c r="L54" i="22"/>
  <c r="K54" i="22"/>
  <c r="L53" i="22"/>
  <c r="K53" i="22"/>
  <c r="L52" i="22"/>
  <c r="K52" i="22"/>
  <c r="L51" i="22"/>
  <c r="L74" i="22" s="1"/>
  <c r="K51" i="22"/>
  <c r="K74" i="22" s="1"/>
  <c r="L50" i="22"/>
  <c r="K50" i="22"/>
  <c r="L49" i="22"/>
  <c r="L71" i="22" s="1"/>
  <c r="K49" i="22"/>
  <c r="K71" i="22" s="1"/>
  <c r="L48" i="22"/>
  <c r="K48" i="22"/>
  <c r="L47" i="22"/>
  <c r="L70" i="22" s="1"/>
  <c r="K47" i="22"/>
  <c r="K70" i="22" s="1"/>
  <c r="L46" i="22"/>
  <c r="K46" i="22"/>
  <c r="L45" i="22"/>
  <c r="K45" i="22"/>
  <c r="L44" i="22"/>
  <c r="K44" i="22"/>
  <c r="L43" i="22"/>
  <c r="K43" i="22"/>
  <c r="L42" i="22"/>
  <c r="K42" i="22"/>
  <c r="L41" i="22"/>
  <c r="L67" i="22" s="1"/>
  <c r="K41" i="22"/>
  <c r="K67" i="22" s="1"/>
  <c r="L40" i="22"/>
  <c r="K40" i="22"/>
  <c r="L39" i="22"/>
  <c r="K39" i="22"/>
  <c r="L38" i="22"/>
  <c r="K38" i="22"/>
  <c r="L37" i="22"/>
  <c r="K37" i="22"/>
  <c r="L36" i="22"/>
  <c r="K36" i="22"/>
  <c r="L35" i="22"/>
  <c r="K35" i="22"/>
  <c r="L34" i="22"/>
  <c r="K34" i="22"/>
  <c r="L33" i="22"/>
  <c r="L68" i="22" s="1"/>
  <c r="K33" i="22"/>
  <c r="K68" i="22" s="1"/>
  <c r="L32" i="22"/>
  <c r="L69" i="22" s="1"/>
  <c r="K32" i="22"/>
  <c r="K69" i="22" s="1"/>
  <c r="L31" i="22"/>
  <c r="K31" i="22"/>
  <c r="L30" i="22"/>
  <c r="K30" i="22"/>
  <c r="L29" i="22"/>
  <c r="K29" i="22"/>
  <c r="L28" i="22"/>
  <c r="K28" i="22"/>
  <c r="L27" i="22"/>
  <c r="K27" i="22"/>
  <c r="L26" i="22"/>
  <c r="K26" i="22"/>
  <c r="L25" i="22"/>
  <c r="K25" i="22"/>
  <c r="L24" i="22"/>
  <c r="K24" i="22"/>
  <c r="L23" i="22"/>
  <c r="K23" i="22"/>
  <c r="L22" i="22"/>
  <c r="K22" i="22"/>
  <c r="L21" i="22"/>
  <c r="K21" i="22"/>
  <c r="L20" i="22"/>
  <c r="K20" i="22"/>
  <c r="L19" i="22"/>
  <c r="K19" i="22"/>
  <c r="L18" i="22"/>
  <c r="K18" i="22"/>
  <c r="L17" i="22"/>
  <c r="K17" i="22"/>
  <c r="L16" i="22"/>
  <c r="K16" i="22"/>
  <c r="L15" i="22"/>
  <c r="K15" i="22"/>
  <c r="L14" i="22"/>
  <c r="K14" i="22"/>
  <c r="L13" i="22"/>
  <c r="K13" i="22"/>
  <c r="L12" i="22"/>
  <c r="K12" i="22"/>
  <c r="L11" i="22"/>
  <c r="K11" i="22"/>
  <c r="I8" i="10" l="1"/>
  <c r="N8" i="10"/>
  <c r="I9" i="10"/>
  <c r="N9" i="10"/>
  <c r="O9" i="10"/>
  <c r="O8" i="10"/>
  <c r="L63" i="22"/>
  <c r="K64" i="22"/>
  <c r="L64" i="22"/>
  <c r="K63" i="22"/>
  <c r="Q9" i="10" l="1"/>
  <c r="N36" i="10"/>
  <c r="Q8" i="10"/>
  <c r="N35" i="10"/>
  <c r="Q35" i="10" l="1"/>
  <c r="P35" i="10"/>
  <c r="O35" i="10"/>
  <c r="R35" i="10"/>
  <c r="Q36" i="10"/>
  <c r="P36" i="10"/>
  <c r="O36" i="10"/>
  <c r="R36" i="10"/>
  <c r="G15" i="12" l="1"/>
  <c r="F15" i="12"/>
  <c r="E15" i="12"/>
  <c r="D15" i="12"/>
  <c r="C15" i="12"/>
  <c r="B15" i="12"/>
  <c r="G283" i="10" l="1"/>
  <c r="G312" i="10" s="1"/>
  <c r="G313" i="10" s="1"/>
  <c r="F283" i="10"/>
  <c r="F312" i="10" s="1"/>
  <c r="F313" i="10" s="1"/>
  <c r="D40" i="4" l="1"/>
  <c r="F23" i="9" l="1"/>
  <c r="D12" i="9" s="1"/>
  <c r="F24" i="9"/>
  <c r="D13" i="9" s="1"/>
  <c r="F25" i="9"/>
  <c r="D14" i="9" s="1"/>
  <c r="F11" i="9"/>
  <c r="G11" i="9" s="1"/>
  <c r="F10" i="9"/>
  <c r="G10" i="9" s="1"/>
  <c r="F9" i="9"/>
  <c r="G9" i="9" s="1"/>
  <c r="F8" i="9"/>
  <c r="G8" i="9" s="1"/>
  <c r="F7" i="9"/>
  <c r="G7" i="9" s="1"/>
  <c r="F6" i="9"/>
  <c r="G6" i="9" s="1"/>
  <c r="F12" i="9" l="1"/>
  <c r="G12" i="9" s="1"/>
  <c r="F13" i="9" l="1"/>
  <c r="G13" i="9" s="1"/>
  <c r="F14" i="9"/>
  <c r="G14" i="9" s="1"/>
  <c r="E12" i="1"/>
  <c r="E15" i="1" s="1"/>
  <c r="E19" i="1" s="1"/>
  <c r="H16" i="9" l="1"/>
</calcChain>
</file>

<file path=xl/sharedStrings.xml><?xml version="1.0" encoding="utf-8"?>
<sst xmlns="http://schemas.openxmlformats.org/spreadsheetml/2006/main" count="13468" uniqueCount="3631">
  <si>
    <t xml:space="preserve">Expenditure: </t>
  </si>
  <si>
    <t xml:space="preserve">Option: </t>
  </si>
  <si>
    <t xml:space="preserve">Potential cost: </t>
  </si>
  <si>
    <t xml:space="preserve">Savings/revenue: </t>
  </si>
  <si>
    <t xml:space="preserve">Calculations/Method: </t>
  </si>
  <si>
    <t xml:space="preserve">Source: </t>
  </si>
  <si>
    <t>$50 million</t>
  </si>
  <si>
    <t xml:space="preserve">Wind facilities eliminated in 2017, took 2020 and 2021 non-wind value of ~100 million and halved it, since the option just includes changes, not a full repeal. </t>
  </si>
  <si>
    <t>https://iec.ok.gov/sites/g/files/gmc216/f/Ad%20Valorem%20Exemption%20for%20Manufacturing%20Final%20Evaluation_112816.pdf#page=3</t>
  </si>
  <si>
    <t>Investment/New Jobs Credit</t>
  </si>
  <si>
    <t>reducing credit and carryforward time</t>
  </si>
  <si>
    <t>https://iec.ok.gov/sites/g/files/gmc216/f/Investment%20New%20Jobs%20Tax%20Credit_11.09.18_FINAL.PDF#page=6</t>
  </si>
  <si>
    <t>Renter credit</t>
  </si>
  <si>
    <t>Make equal to value of homestead exemption</t>
  </si>
  <si>
    <t>Statewide avg. tax per assessed value</t>
  </si>
  <si>
    <t>Assessed value exempt per homestead exemption</t>
  </si>
  <si>
    <t>Tax savings from homestead exemption</t>
  </si>
  <si>
    <t>Number of renters</t>
  </si>
  <si>
    <t>Amount</t>
  </si>
  <si>
    <t>Percent</t>
  </si>
  <si>
    <t>Jobs</t>
  </si>
  <si>
    <t>Cost/job</t>
  </si>
  <si>
    <t>GOOGLE LLC - MYALL LLC</t>
  </si>
  <si>
    <t>KOCH FERTILIZER ENID LLC</t>
  </si>
  <si>
    <t>HOLLY FRONTIER TULSA REF - EAST</t>
  </si>
  <si>
    <t>KAY WIND, LLC</t>
  </si>
  <si>
    <t>KINGFISHER WIND</t>
  </si>
  <si>
    <t>ENABLE PRODUCTS</t>
  </si>
  <si>
    <t>FRONTIER WIND D 27</t>
  </si>
  <si>
    <t>SEILING WIND</t>
  </si>
  <si>
    <t>BALKO WIND,</t>
  </si>
  <si>
    <t>GOODWELL WIND</t>
  </si>
  <si>
    <t>Top 10</t>
  </si>
  <si>
    <t>All others</t>
  </si>
  <si>
    <t>Top 5</t>
  </si>
  <si>
    <t>All State Residents, 2019 Incomes</t>
  </si>
  <si>
    <t>2019 Income</t>
  </si>
  <si>
    <t>Lowest 20%</t>
  </si>
  <si>
    <t>Second 20%</t>
  </si>
  <si>
    <t>Middle 20%</t>
  </si>
  <si>
    <t>Fourth 20%</t>
  </si>
  <si>
    <t>Next 15%</t>
  </si>
  <si>
    <t>Next 4%</t>
  </si>
  <si>
    <t>Top 1%</t>
  </si>
  <si>
    <t>Income</t>
  </si>
  <si>
    <t>Less than</t>
  </si>
  <si>
    <t>Range</t>
  </si>
  <si>
    <t>Or More</t>
  </si>
  <si>
    <t>Average Income in Group</t>
  </si>
  <si>
    <t>State Tax Change for State Residents ($1000)</t>
  </si>
  <si>
    <t>Tax Change as % of Income</t>
  </si>
  <si>
    <t>Average Tax Change</t>
  </si>
  <si>
    <t>% with Income Tax Increase</t>
  </si>
  <si>
    <t>% of Taxpayers w/Increase</t>
  </si>
  <si>
    <t>Avg. Tax Increase for Those w/ Increase</t>
  </si>
  <si>
    <t>% of Bottom 80% with Increase</t>
  </si>
  <si>
    <t>% of Tax Increase to Bottom 80%</t>
  </si>
  <si>
    <t>Share of Resident Tax Increase</t>
  </si>
  <si>
    <t>% of Top 20% with Increase</t>
  </si>
  <si>
    <t>% of Tax Increase to Top 20%</t>
  </si>
  <si>
    <t>Taxing Social Security Same as Federal</t>
  </si>
  <si>
    <t>Year</t>
  </si>
  <si>
    <t>Tax</t>
  </si>
  <si>
    <t>State</t>
  </si>
  <si>
    <t>Minimum Tax Rate</t>
  </si>
  <si>
    <t>Flat Rate</t>
  </si>
  <si>
    <t>$ Minimum</t>
  </si>
  <si>
    <t>Notes</t>
  </si>
  <si>
    <t>Alabama</t>
  </si>
  <si>
    <t>Y</t>
  </si>
  <si>
    <t>Alaska</t>
  </si>
  <si>
    <t>N</t>
  </si>
  <si>
    <t>Arizona</t>
  </si>
  <si>
    <t>Arkansas</t>
  </si>
  <si>
    <t>California</t>
  </si>
  <si>
    <t>Colorado</t>
  </si>
  <si>
    <t>Connecticut</t>
  </si>
  <si>
    <t>Connecticut’s tax is the greater of the 7.5% tax on net income, a 0.31% tax on capital stock and surplus (maximum tax of $1 million), or $250 (the minimum tax). A 10% surcharge is imposed for tax year 2020.</t>
  </si>
  <si>
    <t>Delaware</t>
  </si>
  <si>
    <t>Florida</t>
  </si>
  <si>
    <t>Georgia</t>
  </si>
  <si>
    <t>Hawaii</t>
  </si>
  <si>
    <t>Hawaii taxes capital gains at 4%. Financial institutions pay a franchise tax of 7.92% of taxable income (in lieu of the corporate income tax and general excise taxes).</t>
  </si>
  <si>
    <t>Idaho</t>
  </si>
  <si>
    <t>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</si>
  <si>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Illinois</t>
  </si>
  <si>
    <t>The Illinois rate of 9.5% is the sum of a corporate income tax rate of 7.0% plus a replacement tax of 2.5%.</t>
  </si>
  <si>
    <t>Indiana</t>
  </si>
  <si>
    <t>Iowa</t>
  </si>
  <si>
    <t>Kansas</t>
  </si>
  <si>
    <t>Kentucky</t>
  </si>
  <si>
    <t>Louisiana</t>
  </si>
  <si>
    <t>Maine</t>
  </si>
  <si>
    <t>Maryland</t>
  </si>
  <si>
    <t>Massachusetts</t>
  </si>
  <si>
    <t>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</si>
  <si>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Michigan</t>
  </si>
  <si>
    <t>Minnesota</t>
  </si>
  <si>
    <t>In addition, Minnesota levies a 5.8% tentative minimum tax on Alternative Minimum Taxable Income. Minnesota also imposes a surtax ranging up to $10,380</t>
  </si>
  <si>
    <t>Mississippi</t>
  </si>
  <si>
    <t>Missouri</t>
  </si>
  <si>
    <t>Montana</t>
  </si>
  <si>
    <t>The minimum tax per corporation is $50; the $50 minimum applies to each corporation included on a combined tax return. Taxpayers with gross sales in Montana of $100,000 or less may pay an alternative tax of 0.5% on such sales, instead of the net income tax</t>
  </si>
  <si>
    <t>Nebraska</t>
  </si>
  <si>
    <t>Nevada</t>
  </si>
  <si>
    <t>New Hampshire</t>
  </si>
  <si>
    <t>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</si>
  <si>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New Jersey</t>
  </si>
  <si>
    <t>New Mexico</t>
  </si>
  <si>
    <t>New York</t>
  </si>
  <si>
    <t>North Carolina</t>
  </si>
  <si>
    <t>North Dakota</t>
  </si>
  <si>
    <t>Ohio</t>
  </si>
  <si>
    <t>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</si>
  <si>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Oklahoma</t>
  </si>
  <si>
    <t>Oregon</t>
  </si>
  <si>
    <t>Oregon’s minimum tax for C corporations depends on the Oregon sales of the filing group. The minimum tax ranges from $150 for corporations with sales under $500,000, up to $100,000 for companies with sales of $100 million or above</t>
  </si>
  <si>
    <t>Pennsylvania</t>
  </si>
  <si>
    <t>Rhode Island</t>
  </si>
  <si>
    <t>South Carolina</t>
  </si>
  <si>
    <t>South Dakota</t>
  </si>
  <si>
    <t>Tennessee</t>
  </si>
  <si>
    <t>Texas</t>
  </si>
  <si>
    <t>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</si>
  <si>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t>Utah</t>
  </si>
  <si>
    <t>Vermont</t>
  </si>
  <si>
    <t>Virginia</t>
  </si>
  <si>
    <t>Washington</t>
  </si>
  <si>
    <t>West Virginia</t>
  </si>
  <si>
    <t>Wisconsin</t>
  </si>
  <si>
    <t>Wyoming</t>
  </si>
  <si>
    <t>States with minimum</t>
  </si>
  <si>
    <t>Average minimum tax</t>
  </si>
  <si>
    <t>Ten Largest 2020 Ad Valorem Tax Exemptions payments from 2020</t>
  </si>
  <si>
    <t>Payee</t>
  </si>
  <si>
    <t>Source:</t>
  </si>
  <si>
    <t>Jobs are from most recent available media reports. Click number of jobs to view reports.</t>
  </si>
  <si>
    <t>Population</t>
  </si>
  <si>
    <t>Source</t>
  </si>
  <si>
    <t>Sources</t>
  </si>
  <si>
    <t>FY '00</t>
  </si>
  <si>
    <t>FY '01</t>
  </si>
  <si>
    <t>FY '02</t>
  </si>
  <si>
    <t>FY '03</t>
  </si>
  <si>
    <t>FY '04</t>
  </si>
  <si>
    <t>FY '05</t>
  </si>
  <si>
    <t>FY '06</t>
  </si>
  <si>
    <t>FY '07</t>
  </si>
  <si>
    <t>FY '08</t>
  </si>
  <si>
    <t>FY '09</t>
  </si>
  <si>
    <t xml:space="preserve">FY '10 </t>
  </si>
  <si>
    <t>FY '11</t>
  </si>
  <si>
    <t xml:space="preserve">FY '12 </t>
  </si>
  <si>
    <t xml:space="preserve">FY '13 </t>
  </si>
  <si>
    <t>FY '14</t>
  </si>
  <si>
    <t>FY '15</t>
  </si>
  <si>
    <t xml:space="preserve">FY '16 </t>
  </si>
  <si>
    <t>FY '17</t>
  </si>
  <si>
    <t>FY '18</t>
  </si>
  <si>
    <t>FY '19</t>
  </si>
  <si>
    <t xml:space="preserve">Compiled by OK Policy from annual appropriations bills. </t>
  </si>
  <si>
    <t>Data</t>
  </si>
  <si>
    <t>Section</t>
  </si>
  <si>
    <t>Figure</t>
  </si>
  <si>
    <t xml:space="preserve">      EFFECT OF 2005-2019 CHANGES IN THE TAX CODE </t>
  </si>
  <si>
    <t xml:space="preserve">            ON REAL INCOME, BY QUINTILE, 2005-2020</t>
  </si>
  <si>
    <t xml:space="preserve">      ($000)</t>
  </si>
  <si>
    <t xml:space="preserve">TAX BENEFITS </t>
  </si>
  <si>
    <t>GOVT BENEFITS FOREGONE</t>
  </si>
  <si>
    <t>REAL INCOME</t>
  </si>
  <si>
    <t>2nd 20%</t>
  </si>
  <si>
    <t>4th 20%</t>
  </si>
  <si>
    <t>Highest 20%</t>
  </si>
  <si>
    <t>By percent</t>
  </si>
  <si>
    <t>4Tth 20%</t>
  </si>
  <si>
    <t>Dr. Kent Olson</t>
  </si>
  <si>
    <t>OK Tax Revenue</t>
  </si>
  <si>
    <t>US Tax Revenue</t>
  </si>
  <si>
    <t>OK Tax Rank</t>
  </si>
  <si>
    <t>If OK had left taxes at 9.2%, the additional tax revenue in 2017 would have been:</t>
  </si>
  <si>
    <t>Tax Revenue as a % of State Personal Income</t>
  </si>
  <si>
    <t xml:space="preserve">OK Personal income </t>
  </si>
  <si>
    <t>$ millions</t>
  </si>
  <si>
    <t>Difference</t>
  </si>
  <si>
    <t>2017 Personal Income</t>
  </si>
  <si>
    <t>2017 tax as % of PI</t>
  </si>
  <si>
    <t>2004 tax as % of PI</t>
  </si>
  <si>
    <t>million</t>
  </si>
  <si>
    <t>Times tax % difference</t>
  </si>
  <si>
    <t>Equals tax difference</t>
  </si>
  <si>
    <t>billion</t>
  </si>
  <si>
    <t>Production Value</t>
  </si>
  <si>
    <t>Effective Rate</t>
  </si>
  <si>
    <t>Sources:</t>
  </si>
  <si>
    <t xml:space="preserve">Total production value of oil and gas for 2012-17 from Region Track </t>
  </si>
  <si>
    <t>Total production value of oil and gas for 2018-20 calculated by OK Policy from Oklahoma Tax Commission data</t>
  </si>
  <si>
    <t>Production is estimated from the receipts of the Petroleum Excise Tax, which is a fixed rate of .095 of 1% of gross value, with no exemptions</t>
  </si>
  <si>
    <t>Petroleum Excise Tax Collected</t>
  </si>
  <si>
    <t>Est. Production Value</t>
  </si>
  <si>
    <t>Severance tax collections per Region Track throuh 2017, then Oklahoma Tax Commission annual reports. Data is from links above.</t>
  </si>
  <si>
    <t>Effective rate is taxes divided by production value. 2012-17 is from Region Track and 2018-2020 is calculated by OK Policy from Oklahoma Tax Commission data above.</t>
  </si>
  <si>
    <t>Additional collections is the difference between actual collections each year and the amount that would have been collected at the full 7 percent rate</t>
  </si>
  <si>
    <t>Total taxes collected and not collected</t>
  </si>
  <si>
    <t>Amount collected</t>
  </si>
  <si>
    <t>Amount not collected</t>
  </si>
  <si>
    <t>Percent collected</t>
  </si>
  <si>
    <t>$ lost because of % decrease</t>
  </si>
  <si>
    <t>Amount collected is compiled by OK Policy from Governor's budgets</t>
  </si>
  <si>
    <t>Source/notes</t>
  </si>
  <si>
    <t xml:space="preserve">Amount not collected is total of tax expenditures from Oklahoma Tax Commission Tax Expenditures report </t>
  </si>
  <si>
    <t>and Oklahoma Tax Commission Exempt Manufacturing Reimbursement Reports</t>
  </si>
  <si>
    <t>Collected as a percentage of collected plus not collected</t>
  </si>
  <si>
    <t>Not collected as a percentage of collected plus not collected</t>
  </si>
  <si>
    <t>Amount that would have been collected in years after 2010 if the 2010 collected/not collected ratio of 60%/40% had continued</t>
  </si>
  <si>
    <t>Tax Type</t>
  </si>
  <si>
    <t>Revenue - 18 Actual</t>
  </si>
  <si>
    <t>Revenue - 16 Actual</t>
  </si>
  <si>
    <t>Revenue - 14 Actual</t>
  </si>
  <si>
    <t>Revenue - 12 Actual</t>
  </si>
  <si>
    <t>Revenue - 10 Actual</t>
  </si>
  <si>
    <t>Alcoholic Beverage excise tax</t>
  </si>
  <si>
    <t>Mixed beverage gross tax receipts</t>
  </si>
  <si>
    <t>Beverage tax</t>
  </si>
  <si>
    <t>Other</t>
  </si>
  <si>
    <t>Cigarette tax</t>
  </si>
  <si>
    <t>Tobacco products tax</t>
  </si>
  <si>
    <t>Tribal compact in lieu of tax payments</t>
  </si>
  <si>
    <t>Corporate income</t>
  </si>
  <si>
    <t>GPT - oil and gas</t>
  </si>
  <si>
    <t>Petroleum excise tax</t>
  </si>
  <si>
    <t>Conservation excise tax</t>
  </si>
  <si>
    <t xml:space="preserve">Coin operators device decal </t>
  </si>
  <si>
    <t>Franchise tax/business activity tax</t>
  </si>
  <si>
    <t>Corporate income tax</t>
  </si>
  <si>
    <t>Occupational health &amp; safety tax</t>
  </si>
  <si>
    <t xml:space="preserve">Charity games tax </t>
  </si>
  <si>
    <t>Bingo tax</t>
  </si>
  <si>
    <t>Gaming exclusivity fees</t>
  </si>
  <si>
    <t>Insurance premium tax</t>
  </si>
  <si>
    <t>Assessments - worker's compensation</t>
  </si>
  <si>
    <t>Workers compensation insurance premiums</t>
  </si>
  <si>
    <t>Motor vehicle tax</t>
  </si>
  <si>
    <t>Tag agent remittance</t>
  </si>
  <si>
    <t>Vehicle revenue tax stamps</t>
  </si>
  <si>
    <t xml:space="preserve">Farm implement tax stamps </t>
  </si>
  <si>
    <t>Sales</t>
  </si>
  <si>
    <t>Special fuel use tax</t>
  </si>
  <si>
    <t xml:space="preserve">Special fuel decal </t>
  </si>
  <si>
    <t>Diesel fuel excise tax</t>
  </si>
  <si>
    <t>Gasoline excise tax</t>
  </si>
  <si>
    <t>Alternative fuel surcharge</t>
  </si>
  <si>
    <t>Personal income</t>
  </si>
  <si>
    <t>Personal income tax</t>
  </si>
  <si>
    <t>Inheritance and estate tax</t>
  </si>
  <si>
    <t xml:space="preserve">Sales tax (includes MV sales tax) </t>
  </si>
  <si>
    <t>Documentary stamp tax</t>
  </si>
  <si>
    <t>Use tax</t>
  </si>
  <si>
    <t>Aircraft excise tax</t>
  </si>
  <si>
    <t>Pari-mutuel taxes</t>
  </si>
  <si>
    <t>Pari-mutuel/pick-six/exotic tax</t>
  </si>
  <si>
    <t>Controlled dangerous substance tax</t>
  </si>
  <si>
    <t>Freight car tax</t>
  </si>
  <si>
    <t>Rural electric cooperative tax</t>
  </si>
  <si>
    <t>Telephone surcharge tax</t>
  </si>
  <si>
    <t>Tourism gross receipt tax</t>
  </si>
  <si>
    <t>Unclaimed property tax</t>
  </si>
  <si>
    <t>Medical marijuana tax</t>
  </si>
  <si>
    <t>Unclassified tax receipts</t>
  </si>
  <si>
    <t>Other taxes</t>
  </si>
  <si>
    <t>Property tax</t>
  </si>
  <si>
    <t>Ad Valorem collections</t>
  </si>
  <si>
    <t>Total taxes (excluding ad valorem)</t>
  </si>
  <si>
    <t>Total taxes (all)</t>
  </si>
  <si>
    <t>Links to publications are listed immediately below. Detailed data are below notes and sources</t>
  </si>
  <si>
    <t>Detail of amount collected by tax type and years, from Governors' budgets</t>
  </si>
  <si>
    <t>Expenditures - FY18</t>
  </si>
  <si>
    <t>Expenditures - FY16</t>
  </si>
  <si>
    <t>Expenditures - FY14</t>
  </si>
  <si>
    <t>Expenditures - FY12</t>
  </si>
  <si>
    <t>Expenditures - FY10</t>
  </si>
  <si>
    <t>Expenditures - FY08</t>
  </si>
  <si>
    <t>Expenditures - FY06</t>
  </si>
  <si>
    <t>Corporate Tax Credit</t>
  </si>
  <si>
    <t>Sales &amp; Use Tax Exemptions</t>
  </si>
  <si>
    <t>Property Tax Exemptions - Residential</t>
  </si>
  <si>
    <t>Property Tax Exemptions - Business</t>
  </si>
  <si>
    <t>Motor Vehicle Registration</t>
  </si>
  <si>
    <t>Motor Vehicle Excise Tax</t>
  </si>
  <si>
    <t>Motor Fuel Tax</t>
  </si>
  <si>
    <t>Estate Tax</t>
  </si>
  <si>
    <t>Franchise Tax</t>
  </si>
  <si>
    <t>Charity Games Tax</t>
  </si>
  <si>
    <t>Boat and Motor Registration Fees</t>
  </si>
  <si>
    <t>Boat and Motor Excise Tax</t>
  </si>
  <si>
    <t>Tax expenditures by tax type and year, from Oklahoma Tax Commission reports. See below for each individual tax expenditure</t>
  </si>
  <si>
    <t xml:space="preserve">Section </t>
  </si>
  <si>
    <t>Prepared for OK Policy by Institute for Taxation and Economic Policy</t>
  </si>
  <si>
    <t>Wtd. Average of increase</t>
  </si>
  <si>
    <t>Limit Social Security deduction</t>
  </si>
  <si>
    <t>Taxing Social Security Same as States Like Connecticut, Kansas, and Missouri</t>
  </si>
  <si>
    <t>Revenue - 20 Actual</t>
  </si>
  <si>
    <t>Expenditures - FY20</t>
  </si>
  <si>
    <t>-</t>
  </si>
  <si>
    <t xml:space="preserve">Individual tax expenditures by tax type and year, from Oklahoma Tax Commission reports. </t>
  </si>
  <si>
    <t>Description</t>
  </si>
  <si>
    <t>Income Tax Credit</t>
  </si>
  <si>
    <t>Nonrefundable tax credit for taxes paid to another state by resident individuals upon personal services compensation</t>
  </si>
  <si>
    <t>Child care</t>
  </si>
  <si>
    <t>Conversion of motor vehicle from petroleum power to clean fuel or electric</t>
  </si>
  <si>
    <t>Credit for nonstop air transportation to either coast of US</t>
  </si>
  <si>
    <t>Natural disaster tax credit</t>
  </si>
  <si>
    <t>Credit for electricity generated by zero-emission facilities</t>
  </si>
  <si>
    <t>Manufacturers of advanced small wind turbines and parts</t>
  </si>
  <si>
    <t>Tourism Promotion Credit</t>
  </si>
  <si>
    <t>Credit for rehabilitating certain historic hotels and newspaper buildings</t>
  </si>
  <si>
    <t>Oklahoma Earned Income Tax Credit</t>
  </si>
  <si>
    <t>Donations to biomedical research foundations</t>
  </si>
  <si>
    <t xml:space="preserve">Donations to Cancer Research Institute </t>
  </si>
  <si>
    <t>Expenditures for Construction of Energy Efficient Residential Property</t>
  </si>
  <si>
    <t>Eligible wages paid by employer for injured employee</t>
  </si>
  <si>
    <t>Modification expenses paid by employer for injured employee</t>
  </si>
  <si>
    <t>Investment in qualified small business capital companies</t>
  </si>
  <si>
    <t>Investment Incentive Credit repealed 2014</t>
  </si>
  <si>
    <t>Poultry litter tax credit</t>
  </si>
  <si>
    <t>Investment in an existing film for a production company reinvesting to pay for production costs for a new film project</t>
  </si>
  <si>
    <t>Railroad Reconstruction or Replacement</t>
  </si>
  <si>
    <t>Costs associated with rearing specially trained canines</t>
  </si>
  <si>
    <t>Equal Opportunity Education Scholarship</t>
  </si>
  <si>
    <t>Employers in the Aerospace Sector</t>
  </si>
  <si>
    <t>Employees in the Aerospace Sector</t>
  </si>
  <si>
    <t>Wire Transmitter Fee Credit</t>
  </si>
  <si>
    <t>Affordable Housing Tax Credit</t>
  </si>
  <si>
    <t>Net operating loss</t>
  </si>
  <si>
    <t>Volunteer firefighter credit</t>
  </si>
  <si>
    <t>Low-income property tax relief for aged and disabled</t>
  </si>
  <si>
    <t>Sales Tax Relief</t>
  </si>
  <si>
    <t>Research and development incentives</t>
  </si>
  <si>
    <t>Income Tax Deduction</t>
  </si>
  <si>
    <t>Itemized deductions</t>
  </si>
  <si>
    <t>Standard deductions</t>
  </si>
  <si>
    <t>Oil and gas depletion allowance</t>
  </si>
  <si>
    <t>Capital gains</t>
  </si>
  <si>
    <t>Individuals 65 or older</t>
  </si>
  <si>
    <t>Blind individuals</t>
  </si>
  <si>
    <t>Taxpayers with physical disabilities</t>
  </si>
  <si>
    <t>Federal income tax deduction</t>
  </si>
  <si>
    <t>Nonrecurring adoption expenses</t>
  </si>
  <si>
    <t>Oklahoma College Savings Program</t>
  </si>
  <si>
    <t>political contributions</t>
  </si>
  <si>
    <t>Foster care expenses (repealed for 2018, reinstated in 2019)</t>
  </si>
  <si>
    <t>Income Tax Exemption</t>
  </si>
  <si>
    <t>Personal exemption</t>
  </si>
  <si>
    <t>Members of the armed services</t>
  </si>
  <si>
    <t>Social security benefits</t>
  </si>
  <si>
    <t>Civil Service retirement in lieu of Soc Sec.</t>
  </si>
  <si>
    <t>Government retirement benefits</t>
  </si>
  <si>
    <t>Military retirement benefits</t>
  </si>
  <si>
    <t>Dividend/interest income exclusion</t>
  </si>
  <si>
    <t>Private retirement benefits</t>
  </si>
  <si>
    <t>Indian Employment Exclusion</t>
  </si>
  <si>
    <t>Corporate Tax Credits</t>
  </si>
  <si>
    <t>Natural or casinghead gas used in manufacturing</t>
  </si>
  <si>
    <t>Income tax credit for investment or increased employment</t>
  </si>
  <si>
    <t>Venture capital</t>
  </si>
  <si>
    <t>Nonrefundable tax credit for use of Oklahoma-mined coal in electric production</t>
  </si>
  <si>
    <t>Investment in producer-owned agricultural processing, ventures or market associations</t>
  </si>
  <si>
    <t>Credit of up to 20% on cost of providing accredited child care for employees</t>
  </si>
  <si>
    <t>Credit of up to 20% of eligible expenses incurred by entities providing child care.</t>
  </si>
  <si>
    <t>Small Business Administration guaranty fee-repealed 2014</t>
  </si>
  <si>
    <t>Investment in rural venture capital companies and rural small business ventures</t>
  </si>
  <si>
    <t>Irrigation districts</t>
  </si>
  <si>
    <t>Rural electric cooperatives</t>
  </si>
  <si>
    <t>Purchase of property by an Oklahoma housing authority</t>
  </si>
  <si>
    <t>Newspapers and periodicals sales</t>
  </si>
  <si>
    <t>Water, sewage &amp; refuses services</t>
  </si>
  <si>
    <t>Funeral home transportation services</t>
  </si>
  <si>
    <t>Tourism broker transportation services</t>
  </si>
  <si>
    <t>State of Oklahoma</t>
  </si>
  <si>
    <t>School cafeterias</t>
  </si>
  <si>
    <t>Subdivisions or agencies of state government</t>
  </si>
  <si>
    <t>Sales of property to or by churches</t>
  </si>
  <si>
    <t>Dues paid to fraternal, religious, civic, charitable or educational societies' dues</t>
  </si>
  <si>
    <t>Tuition and educational fees paid to private schools</t>
  </si>
  <si>
    <t>Sales by schools</t>
  </si>
  <si>
    <t>Private education institutions</t>
  </si>
  <si>
    <t>Sales by fire departments</t>
  </si>
  <si>
    <t>Sales to museums</t>
  </si>
  <si>
    <t>Sales by or to cultural organizations</t>
  </si>
  <si>
    <t>Boys &amp; Girls Clubs</t>
  </si>
  <si>
    <t>Museum admission tickets</t>
  </si>
  <si>
    <t>Admission tickets surcharge</t>
  </si>
  <si>
    <t>Campus construction</t>
  </si>
  <si>
    <t>School construction projects</t>
  </si>
  <si>
    <t>Specialized facilities serving physically and mentally handicapped</t>
  </si>
  <si>
    <t>Admission to professional sporting events</t>
  </si>
  <si>
    <t>Organization which is part of a network of autonomous member organizations</t>
  </si>
  <si>
    <t>Community Mental Health Center</t>
  </si>
  <si>
    <t>YMCA/YWCA</t>
  </si>
  <si>
    <t>Veterans of Foreign Wars</t>
  </si>
  <si>
    <t>Motion picture and television production companies</t>
  </si>
  <si>
    <t>Sales for resale</t>
  </si>
  <si>
    <t>Advertising sales</t>
  </si>
  <si>
    <t>Local transportation</t>
  </si>
  <si>
    <t>Utilities for residential use</t>
  </si>
  <si>
    <t>Prescription drugs</t>
  </si>
  <si>
    <t>Federal food stamp program</t>
  </si>
  <si>
    <t>Interstate WATS and private line service</t>
  </si>
  <si>
    <t>Aircraft &amp; aircraft parts</t>
  </si>
  <si>
    <t>Children's homes</t>
  </si>
  <si>
    <t>Biomedical research foundations</t>
  </si>
  <si>
    <t>Prosthetic devices</t>
  </si>
  <si>
    <t>Electricity used in enhanced recovery oil production</t>
  </si>
  <si>
    <t>Disabled veterans</t>
  </si>
  <si>
    <t>Vitamins, minerals, and supplements sold by chiropractors</t>
  </si>
  <si>
    <t>Drugs and medical devices purchased by Medicare/Medicaid</t>
  </si>
  <si>
    <t>Horses</t>
  </si>
  <si>
    <t>Sales tax holiday</t>
  </si>
  <si>
    <t>Agricultural sales</t>
  </si>
  <si>
    <t>Sales to manufacturers</t>
  </si>
  <si>
    <t>Bad debt credit</t>
  </si>
  <si>
    <t>Out-of-state tax credit</t>
  </si>
  <si>
    <t>Livestock purchased outside of state</t>
  </si>
  <si>
    <t>Commercial airlines or railroads</t>
  </si>
  <si>
    <t>Machinery &amp; equipment used in manufacturing</t>
  </si>
  <si>
    <t>Residential Ad Valorem Tax Credit</t>
  </si>
  <si>
    <t>Residential property damaged on designated dates</t>
  </si>
  <si>
    <t>Home maintenance property</t>
  </si>
  <si>
    <t>Additional homestead exemptions</t>
  </si>
  <si>
    <t>Homestead exemption (1)</t>
  </si>
  <si>
    <t>Personal property tax exemption (1)</t>
  </si>
  <si>
    <t>100% disabled veteran exemption</t>
  </si>
  <si>
    <t>5-yr manufacturing reimbursements</t>
  </si>
  <si>
    <t>Fire department vehicles</t>
  </si>
  <si>
    <t>Military personnel vehicles</t>
  </si>
  <si>
    <t>Special mobilized machinery</t>
  </si>
  <si>
    <t>Farm vehicles</t>
  </si>
  <si>
    <t>Taxicabs and privately owned school buses</t>
  </si>
  <si>
    <t>Forestry vehicles</t>
  </si>
  <si>
    <t>Vehicles owned by political subdivisions of the state</t>
  </si>
  <si>
    <t>Vehicles owned by religious corporation or society</t>
  </si>
  <si>
    <t>Transportation for older persons</t>
  </si>
  <si>
    <t>Youth program vehicles</t>
  </si>
  <si>
    <t>Vehicles used for the employment of the handicapped</t>
  </si>
  <si>
    <t>Transportation of surplus food</t>
  </si>
  <si>
    <t>Antique or classic vehicles</t>
  </si>
  <si>
    <t>Physically disabled vehicles</t>
  </si>
  <si>
    <t>Indian tribal vehicles</t>
  </si>
  <si>
    <t>Disabled veterans' vehicles</t>
  </si>
  <si>
    <t>Vehicles owned by former prisoners of war</t>
  </si>
  <si>
    <t>Owned by spouse of member killed in action</t>
  </si>
  <si>
    <t>Owned by parent of member killed in action</t>
  </si>
  <si>
    <t>Rural water or sewer district vehicles</t>
  </si>
  <si>
    <t>Conservancy district vehicles</t>
  </si>
  <si>
    <t>Donated to nonprofit</t>
  </si>
  <si>
    <t>Prorate vehicle excise tax - trucks and truck-tractors</t>
  </si>
  <si>
    <t>International Registration Plan</t>
  </si>
  <si>
    <t>Marital &amp; parental transfers</t>
  </si>
  <si>
    <t>Transfers to a trust</t>
  </si>
  <si>
    <t>Vehicles taxed under Ad Valorem Tax Code</t>
  </si>
  <si>
    <t>Used motor vehicle dealers</t>
  </si>
  <si>
    <t>New resident</t>
  </si>
  <si>
    <t>Vehicles belonging to political subdivisions of state</t>
  </si>
  <si>
    <t>Inherited vehicles</t>
  </si>
  <si>
    <t>Manufactured homes taxed under ad valorem code</t>
  </si>
  <si>
    <t>Rental vehicles</t>
  </si>
  <si>
    <t>Foreclosure vehicles</t>
  </si>
  <si>
    <t>Motor vehicle dealer</t>
  </si>
  <si>
    <t>Corporate, partnership or limited liability company vehicles</t>
  </si>
  <si>
    <t>Lease vehicle</t>
  </si>
  <si>
    <t>New dealer temporary registration</t>
  </si>
  <si>
    <t>Irrigation district vehicles</t>
  </si>
  <si>
    <t>Non-IRP Commercial trucks and trailers</t>
  </si>
  <si>
    <t>Repossessed returned to owner in 30 dyas</t>
  </si>
  <si>
    <t>Used for agricultural purposes</t>
  </si>
  <si>
    <t>Used to run equipment off road</t>
  </si>
  <si>
    <t>Used for heating oil, railroads, other non-highway</t>
  </si>
  <si>
    <t>Use of diesel dyed for off-road use</t>
  </si>
  <si>
    <t>Aircraft fuel</t>
  </si>
  <si>
    <t>Parents', children's or descendants' bequests</t>
  </si>
  <si>
    <t>Gross Production and Petroleum Excise Taxes</t>
  </si>
  <si>
    <t>Enhanced oil recovery incentive</t>
  </si>
  <si>
    <t>Incentive rebates</t>
  </si>
  <si>
    <t>Lease interest exemptions (exemption on royalties to government entities incl. Indian tribes)</t>
  </si>
  <si>
    <t>Costs associated with marketing and transp. Of natural gas</t>
  </si>
  <si>
    <t>Small Business and Rural Small Business Capital Companies</t>
  </si>
  <si>
    <t>Corporations owing tax of $10 or less</t>
  </si>
  <si>
    <t>Corporations owing tax of $250 or less</t>
  </si>
  <si>
    <t>Cigarette Tax Stamp</t>
  </si>
  <si>
    <t>Indian tribal compact sales</t>
  </si>
  <si>
    <t>Indian tribal sales</t>
  </si>
  <si>
    <t>Cigarettes sold to U.S.</t>
  </si>
  <si>
    <t>Veterans hospitals and homes</t>
  </si>
  <si>
    <t>Tobacco Products Tax</t>
  </si>
  <si>
    <t>Veterans' hospitals</t>
  </si>
  <si>
    <t>Veterans' organizatons (bingo)</t>
  </si>
  <si>
    <t>Miltary personnel</t>
  </si>
  <si>
    <t>Boats and motors owned by the State of Oklahoma or political subdivisions</t>
  </si>
  <si>
    <t>Boat and motor replacement credit for stolen or defective new boat and/or motor</t>
  </si>
  <si>
    <t>Boy Scourts, Girl Scouts, Campfire Girls</t>
  </si>
  <si>
    <t>Used Boat and Motor Dealers</t>
  </si>
  <si>
    <t>Foreclosure</t>
  </si>
  <si>
    <t>Inherited boats and motors</t>
  </si>
  <si>
    <t>ALL OTHER EXPENDITURES (&lt;$10M FY '08)</t>
  </si>
  <si>
    <t>N/A</t>
  </si>
  <si>
    <t>minimal</t>
  </si>
  <si>
    <t>n/a</t>
  </si>
  <si>
    <t>not shown</t>
  </si>
  <si>
    <t>NA</t>
  </si>
  <si>
    <t>: $123,928,000.00</t>
  </si>
  <si>
    <t>DNA</t>
  </si>
  <si>
    <t>not provided</t>
  </si>
  <si>
    <t>Councils of Boy &amp; Girls Scouts, Campfire USA</t>
  </si>
  <si>
    <t>Community Health Charities Member Organizations</t>
  </si>
  <si>
    <t>Aircraft Repair and Modification</t>
  </si>
  <si>
    <t>Contaminated diesel</t>
  </si>
  <si>
    <t>Boats and motors owned by Government entities</t>
  </si>
  <si>
    <t>Amount FY'20</t>
  </si>
  <si>
    <t>Amount FY'18</t>
  </si>
  <si>
    <t>Amount FY'16</t>
  </si>
  <si>
    <t>Amount FY'14</t>
  </si>
  <si>
    <t>Amount FY'12</t>
  </si>
  <si>
    <t>Amount FY'10</t>
  </si>
  <si>
    <t>Amount FY'08</t>
  </si>
  <si>
    <t>Amunt FY'06</t>
  </si>
  <si>
    <t xml:space="preserve">Total, Income Tax Credit: </t>
  </si>
  <si>
    <t xml:space="preserve">Total, Income Tax Deduction: </t>
  </si>
  <si>
    <t xml:space="preserve">Total, Income Tax Exemption: </t>
  </si>
  <si>
    <t>Total, Corporate Tax Credit</t>
  </si>
  <si>
    <t>Total, Sales &amp; Use Tax Exemptions</t>
  </si>
  <si>
    <t>Total, Property Tax Exemptions - Residential</t>
  </si>
  <si>
    <t>Total, Property Tax Exemptions - Business</t>
  </si>
  <si>
    <t>Total, Motor Vehicle Registration</t>
  </si>
  <si>
    <t>Total, Motor Vehicle Excise Tax</t>
  </si>
  <si>
    <t>Total, Motor Fuel Tax</t>
  </si>
  <si>
    <t>Total, Estate Tax</t>
  </si>
  <si>
    <t>Total, Gross Production and Petroleum Excise Tax</t>
  </si>
  <si>
    <t>Total, Franchise Tax</t>
  </si>
  <si>
    <t>Total, Cigarette Tax Stamp:</t>
  </si>
  <si>
    <t xml:space="preserve">Total, Tobacco Products Tax: </t>
  </si>
  <si>
    <t>Total, Charity Games Tax</t>
  </si>
  <si>
    <t>Total, Boat and Motor Registration Fees</t>
  </si>
  <si>
    <t>Total, Boat and Motor Excise Tax</t>
  </si>
  <si>
    <t xml:space="preserve">TOTALS: </t>
  </si>
  <si>
    <t>incorrect in report</t>
  </si>
  <si>
    <t>Total % change</t>
  </si>
  <si>
    <t>Rank % change</t>
  </si>
  <si>
    <t xml:space="preserve"> </t>
  </si>
  <si>
    <t>% change, 2006-2020</t>
  </si>
  <si>
    <t xml:space="preserve">% change, earliest yr to 2020 </t>
  </si>
  <si>
    <t>Table</t>
  </si>
  <si>
    <t xml:space="preserve">Source: Oklahoma Tax Commission </t>
  </si>
  <si>
    <t xml:space="preserve">Missouri </t>
  </si>
  <si>
    <t xml:space="preserve">New Mexico </t>
  </si>
  <si>
    <t>Source: Institute on Tax and Economic Policy</t>
  </si>
  <si>
    <t>Taxes paid by lowest % of earners</t>
  </si>
  <si>
    <t>Median of neighboring states</t>
  </si>
  <si>
    <t>Weighted tax as % of Weighted Income</t>
  </si>
  <si>
    <t>PreTax Income</t>
  </si>
  <si>
    <t>Sales Taxes</t>
  </si>
  <si>
    <t>Property Taxes</t>
  </si>
  <si>
    <t>Income Taxes</t>
  </si>
  <si>
    <t>Total Taxes</t>
  </si>
  <si>
    <t>Post-tax Income</t>
  </si>
  <si>
    <t>Post-tax/pretax</t>
  </si>
  <si>
    <t>White</t>
  </si>
  <si>
    <t>Black</t>
  </si>
  <si>
    <t>Lowest 20</t>
  </si>
  <si>
    <t>Top 20%</t>
  </si>
  <si>
    <t>Married</t>
  </si>
  <si>
    <t>Male householder</t>
  </si>
  <si>
    <t>Female householder</t>
  </si>
  <si>
    <t>All Oklahomans, 2020 Income Levels</t>
  </si>
  <si>
    <t>2020 Income Group</t>
  </si>
  <si>
    <t>State Tax Change</t>
  </si>
  <si>
    <t>Less Than</t>
  </si>
  <si>
    <t>$23,000 –</t>
  </si>
  <si>
    <t>$38,000 –</t>
  </si>
  <si>
    <t>$61,000 –</t>
  </si>
  <si>
    <t>$98,000 –</t>
  </si>
  <si>
    <t>$215,000 –</t>
  </si>
  <si>
    <t>$513,000 –</t>
  </si>
  <si>
    <t>Tax Change as a % of Income</t>
  </si>
  <si>
    <t>–0.0%</t>
  </si>
  <si>
    <t>–0.1%</t>
  </si>
  <si>
    <t>—</t>
  </si>
  <si>
    <t>–2</t>
  </si>
  <si>
    <t>% Facing Receiving Tax Cut</t>
  </si>
  <si>
    <t>Average Tax Hike for Those Receiving Cut</t>
  </si>
  <si>
    <t>Share of Tax Cut</t>
  </si>
  <si>
    <t>Additional Detail</t>
  </si>
  <si>
    <t>Total % with Tax Cut</t>
  </si>
  <si>
    <t>–0.3%</t>
  </si>
  <si>
    <t>Impact of Sales Tax Credit Changes</t>
  </si>
  <si>
    <t>Impact of increasing per person sales tax credit to $80</t>
  </si>
  <si>
    <t>Impact of increasing per person sales tax credit to $120</t>
  </si>
  <si>
    <t>Impact of maintaining the $40 sales tax credit amount while increasing the income thresholds to $40,000 / $70,000 (for those who claim a dependent, are elderly or disabled) and adding a phaseout between $20,000- 40,000 / $50,000- $70,000</t>
  </si>
  <si>
    <t>Impact of increasing the sales tax credit to $80, increasing the income thresholds to $40,000 / $70,000 (for those who claim a dependent, are elderly or disabled) and adding a phaseout between $20,000- 40,000 / $50,000- $70,000</t>
  </si>
  <si>
    <t>SOURCE: Institute on Taxation and Economic Policy, October 2020</t>
  </si>
  <si>
    <t>–36,600,000</t>
  </si>
  <si>
    <t>–48</t>
  </si>
  <si>
    <t>–29</t>
  </si>
  <si>
    <t>–21</t>
  </si>
  <si>
    <t>–0.7%</t>
  </si>
  <si>
    <t>–0.2%</t>
  </si>
  <si>
    <t>–73,200,000</t>
  </si>
  <si>
    <t>–97</t>
  </si>
  <si>
    <t>–58</t>
  </si>
  <si>
    <t>–42</t>
  </si>
  <si>
    <t>–13,900,000</t>
  </si>
  <si>
    <t>–6</t>
  </si>
  <si>
    <t>–17</t>
  </si>
  <si>
    <t>–16</t>
  </si>
  <si>
    <t>–0.4%</t>
  </si>
  <si>
    <t>–64,200,000</t>
  </si>
  <si>
    <t>–61</t>
  </si>
  <si>
    <t>–63</t>
  </si>
  <si>
    <t>–54</t>
  </si>
  <si>
    <t>–3</t>
  </si>
  <si>
    <t>Total</t>
  </si>
  <si>
    <t>No</t>
  </si>
  <si>
    <t>Yes</t>
  </si>
  <si>
    <t>General sales</t>
  </si>
  <si>
    <t>Selective sales</t>
  </si>
  <si>
    <t>Property</t>
  </si>
  <si>
    <t>Licenses</t>
  </si>
  <si>
    <t>Severance</t>
  </si>
  <si>
    <t>Personal as % of total income tax</t>
  </si>
  <si>
    <t>Corporate as % of total income tax</t>
  </si>
  <si>
    <t>50 states</t>
  </si>
  <si>
    <t xml:space="preserve">National average: </t>
  </si>
  <si>
    <t xml:space="preserve">National median: </t>
  </si>
  <si>
    <t>Published:</t>
  </si>
  <si>
    <t>U.S. Census Bureau's 2018 Annual Survey of State Government Tax Collections</t>
  </si>
  <si>
    <t>Topic</t>
  </si>
  <si>
    <t>Regional</t>
  </si>
  <si>
    <t>Source: Oklahoma Tax Commission</t>
  </si>
  <si>
    <t>County</t>
  </si>
  <si>
    <t>2011- Q1</t>
  </si>
  <si>
    <t>2020- Q3</t>
  </si>
  <si>
    <t>Adair</t>
  </si>
  <si>
    <t>Alfalfa</t>
  </si>
  <si>
    <t>Atoka</t>
  </si>
  <si>
    <t>Beaver</t>
  </si>
  <si>
    <t>Beckham</t>
  </si>
  <si>
    <t>Blaine</t>
  </si>
  <si>
    <t>Bryan</t>
  </si>
  <si>
    <t>Caddo</t>
  </si>
  <si>
    <t>Canadian</t>
  </si>
  <si>
    <t>Carter</t>
  </si>
  <si>
    <t>Cherokee</t>
  </si>
  <si>
    <t>Choctaw</t>
  </si>
  <si>
    <t>Cimarron</t>
  </si>
  <si>
    <t>Cleveland</t>
  </si>
  <si>
    <t>Coal</t>
  </si>
  <si>
    <t>Comanche</t>
  </si>
  <si>
    <t>Cotton</t>
  </si>
  <si>
    <t>Craig</t>
  </si>
  <si>
    <t>Creek</t>
  </si>
  <si>
    <t>Custer</t>
  </si>
  <si>
    <t>Dewey</t>
  </si>
  <si>
    <t>Ellis</t>
  </si>
  <si>
    <t>Garfield</t>
  </si>
  <si>
    <t>Garvin</t>
  </si>
  <si>
    <t>Grady</t>
  </si>
  <si>
    <t>Grant</t>
  </si>
  <si>
    <t>Greer</t>
  </si>
  <si>
    <t>Harmon</t>
  </si>
  <si>
    <t>Harper</t>
  </si>
  <si>
    <t>Haskell</t>
  </si>
  <si>
    <t>Hughes</t>
  </si>
  <si>
    <t>Jackson</t>
  </si>
  <si>
    <t>Jefferson</t>
  </si>
  <si>
    <t>Johnston</t>
  </si>
  <si>
    <t>Kay</t>
  </si>
  <si>
    <t>Kingfisher</t>
  </si>
  <si>
    <t>Kiowa</t>
  </si>
  <si>
    <t>Latimer</t>
  </si>
  <si>
    <t>Le Flore</t>
  </si>
  <si>
    <t>Lincoln</t>
  </si>
  <si>
    <t>Logan</t>
  </si>
  <si>
    <t>Love</t>
  </si>
  <si>
    <t>McClain</t>
  </si>
  <si>
    <t>McCurtain</t>
  </si>
  <si>
    <t>McIntosh</t>
  </si>
  <si>
    <t>Major</t>
  </si>
  <si>
    <t>Marshall</t>
  </si>
  <si>
    <t>Mayes</t>
  </si>
  <si>
    <t>Murray</t>
  </si>
  <si>
    <t>Muskogee</t>
  </si>
  <si>
    <t>Noble</t>
  </si>
  <si>
    <t>Nowata</t>
  </si>
  <si>
    <t>Okfuskee</t>
  </si>
  <si>
    <t>Okmulgee</t>
  </si>
  <si>
    <t>Osage</t>
  </si>
  <si>
    <t>Ottawa</t>
  </si>
  <si>
    <t>Pawnee</t>
  </si>
  <si>
    <t>Payne</t>
  </si>
  <si>
    <t>Pittsburg</t>
  </si>
  <si>
    <t>Pontotoc</t>
  </si>
  <si>
    <t>Pottawatomie</t>
  </si>
  <si>
    <t>Pushmataha</t>
  </si>
  <si>
    <t>Roger Mills</t>
  </si>
  <si>
    <t>Rogers</t>
  </si>
  <si>
    <t>Seminole</t>
  </si>
  <si>
    <t>Sequoyah</t>
  </si>
  <si>
    <t>Stephens</t>
  </si>
  <si>
    <t>Tillman</t>
  </si>
  <si>
    <t>Tulsa</t>
  </si>
  <si>
    <t>Wagoner</t>
  </si>
  <si>
    <t>Washita</t>
  </si>
  <si>
    <t>Woods</t>
  </si>
  <si>
    <t>Woodward</t>
  </si>
  <si>
    <t>Increase or decrease</t>
  </si>
  <si>
    <t>increase</t>
  </si>
  <si>
    <t>decrease</t>
  </si>
  <si>
    <t>Number that increased</t>
  </si>
  <si>
    <t xml:space="preserve">Number that decreased </t>
  </si>
  <si>
    <t>Number that stayed the same</t>
  </si>
  <si>
    <t>Pew Charitable Trusts, How States Raise Their Tax Dollars: Mix of Tax Sources by State, FY 2018</t>
  </si>
  <si>
    <t>Federation of Tax Administrators</t>
  </si>
  <si>
    <t>Eliminate Itemized Deductions</t>
  </si>
  <si>
    <t>% with Income Tax Cut</t>
  </si>
  <si>
    <t>% of Taxpayers w/Cut</t>
  </si>
  <si>
    <t>Avg. Tax Cut for Those w/ Cut</t>
  </si>
  <si>
    <t>% of Bottom 80% with Cut</t>
  </si>
  <si>
    <t>% of Tax Cut to Bottom 80%</t>
  </si>
  <si>
    <t>Share of Resident Tax Cut</t>
  </si>
  <si>
    <t>% of Top 20% with Cut</t>
  </si>
  <si>
    <t>% of Tax Cut to Top 20%</t>
  </si>
  <si>
    <t>Change in county sales taxes, 2011-2020</t>
  </si>
  <si>
    <t>Eliminating Sales Tax Exemption on Newspapers</t>
  </si>
  <si>
    <t>Total State Tax Change ($1000)</t>
  </si>
  <si>
    <t>% Exported Out-of-State</t>
  </si>
  <si>
    <t>% of Resident Tax Increase to Bottom 80%</t>
  </si>
  <si>
    <t>% of Resident Tax Increase to Top 20%</t>
  </si>
  <si>
    <t>Eliminating Sales Tax Exemption on Utilities</t>
  </si>
  <si>
    <t>*</t>
  </si>
  <si>
    <t>No Response, 2007 Data reported.</t>
  </si>
  <si>
    <t>##</t>
  </si>
  <si>
    <t>A number indicates state tax rate applicable</t>
  </si>
  <si>
    <t>"T"</t>
  </si>
  <si>
    <t>Taxed at a rate that varies across the state (i.e., local rate applicable). See Footnote for detail.</t>
  </si>
  <si>
    <t>Services</t>
  </si>
  <si>
    <t>AL</t>
  </si>
  <si>
    <t>AK</t>
  </si>
  <si>
    <t>AR</t>
  </si>
  <si>
    <t>AZ*</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</si>
  <si>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</si>
  <si>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</si>
  <si>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</si>
  <si>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</si>
  <si>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</si>
  <si>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</si>
  <si>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</si>
  <si>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</si>
  <si>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</si>
  <si>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</si>
  <si>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</si>
  <si>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</si>
  <si>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</si>
  <si>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</si>
  <si>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</si>
  <si>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</si>
  <si>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</si>
  <si>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</si>
  <si>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</si>
  <si>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</si>
  <si>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</si>
  <si>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</si>
  <si>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</si>
  <si>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</si>
  <si>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</si>
  <si>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</si>
  <si>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</si>
  <si>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</si>
  <si>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</si>
  <si>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</si>
  <si>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</si>
  <si>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</si>
  <si>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</si>
  <si>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</si>
  <si>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</si>
  <si>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</si>
  <si>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</si>
  <si>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</si>
  <si>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</si>
  <si>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</si>
  <si>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</si>
  <si>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</si>
  <si>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</si>
  <si>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</si>
  <si>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</si>
  <si>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</si>
  <si>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</si>
  <si>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Taxing Service</t>
  </si>
  <si>
    <t>*  Did not receive a response to the survey, 2007 Data reported here.</t>
  </si>
  <si>
    <t>Basic Sales Tax Rate</t>
  </si>
  <si>
    <t>* If shown as taxable for sales tax, the general rate is applicable unless otherwise noted.</t>
  </si>
  <si>
    <t xml:space="preserve">*  Many Alaskan cities levy sales taxes. Generally, these sales taxes apply to first $500 or $1,000 goods and services unless specifically exempted.  The rate ranges from 1% to 6%.  </t>
  </si>
  <si>
    <t>*  State transaction privilege tax is imposed under 16 separate tax classifications.  The state tax rate is 5.6% for most classifications, although prime contracting tax is imposed on 65% of a business's gross receipts.  Currently, the state tax rates are: 0% for the commercial lease classification (county and city taxes may apply), 5.5% for the transient lodging classification, and 3.125% for the mining classification.  In addition to tax imposed at the state level, county and city privilege taxes may apply.  The imposition of county taxes "piggybacks" state taxes.  Some answers below address city privilege taxes, which are governed by the Model City Tax Code ("M.C.T.C.").</t>
  </si>
  <si>
    <r>
      <t xml:space="preserve">*   The statewide sales tax rate is comprised of various increments.  Allocation is:  </t>
    </r>
    <r>
      <rPr>
        <b/>
        <sz val="14"/>
        <rFont val="Arial"/>
        <family val="2"/>
        <scheme val="minor"/>
      </rPr>
      <t>3.9375%</t>
    </r>
    <r>
      <rPr>
        <sz val="14"/>
        <rFont val="Arial"/>
        <family val="2"/>
        <scheme val="minor"/>
      </rPr>
      <t xml:space="preserve"> to the state general fund, </t>
    </r>
    <r>
      <rPr>
        <b/>
        <sz val="14"/>
        <rFont val="Arial"/>
        <family val="2"/>
        <scheme val="minor"/>
      </rPr>
      <t>.50%</t>
    </r>
    <r>
      <rPr>
        <sz val="14"/>
        <rFont val="Arial"/>
        <family val="2"/>
        <scheme val="minor"/>
      </rPr>
      <t xml:space="preserve"> to a local revenue fund, </t>
    </r>
    <r>
      <rPr>
        <b/>
        <sz val="14"/>
        <rFont val="Arial"/>
        <family val="2"/>
        <scheme val="minor"/>
      </rPr>
      <t>.50%</t>
    </r>
    <r>
      <rPr>
        <sz val="14"/>
        <rFont val="Arial"/>
        <family val="2"/>
        <scheme val="minor"/>
      </rPr>
      <t xml:space="preserve"> to a local public safety fund, </t>
    </r>
    <r>
      <rPr>
        <b/>
        <sz val="14"/>
        <rFont val="Arial"/>
        <family val="2"/>
        <scheme val="minor"/>
      </rPr>
      <t>1.0625%</t>
    </r>
    <r>
      <rPr>
        <sz val="14"/>
        <rFont val="Arial"/>
        <family val="2"/>
        <scheme val="minor"/>
      </rPr>
      <t xml:space="preserve"> to a second local public safety fund, and </t>
    </r>
    <r>
      <rPr>
        <b/>
        <sz val="14"/>
        <rFont val="Arial"/>
        <family val="2"/>
        <scheme val="minor"/>
      </rPr>
      <t>1.25%</t>
    </r>
    <r>
      <rPr>
        <sz val="14"/>
        <rFont val="Arial"/>
        <family val="2"/>
        <scheme val="minor"/>
      </rPr>
      <t xml:space="preserve"> to local and county governments for a total statewide tax of 7.25%.  In addition, individual cities, counties and special district may impose local taxes of up to an additional 2.0%.  The tax rate in the Tax Rate column is shown as the statewide rate.  The rate will be higher if the location where the sale takes place has additional district taxes.</t>
    </r>
  </si>
  <si>
    <t>*  As in most states consumable materials and costs of parts are use taxable for exempt services. Local taxes are imposed on most state taxable services. Local rates vary. In addition, the 70+ home-rule local jurisdictions may impose their own sales tax on many of the listed services. The answers to this survey do not attempt to answer the questions with respect to those home-rule jurisdictions.</t>
  </si>
  <si>
    <t>*  7.75% on sales of motor vehicles with a sales price exceeding $50,000; jewelry with a sales price exceeding $5,000; articles of clothing or footwear, handbags, luggage, umbrellas, wallets or watches with a sales price exceeding $1,000
1% on computer and data processing services</t>
  </si>
  <si>
    <t xml:space="preserve">*  Delaware has no sales tax.  Enumerated list of services and professions subject to annual license fee and monthly gross receipts tax on receipts in excess of $100,000 per month at .398% rate. </t>
  </si>
  <si>
    <t>* Rate changed in October 1994 from 6% to 5.75%.</t>
  </si>
  <si>
    <t xml:space="preserve">* Hawaii does not have a sales tax.  Instead, General Excise Tax (GET) is imposed on the value of products, gross proceeds of sales or gross income. A wholesale of services rate of 1/2% is allowed for services that are resold. Also, exported services are exempt.  </t>
  </si>
  <si>
    <t>*  Local option sales tax coverage of services is similar to state coverage.  There are some exceptions, among them no local option tax on sales by the Dept. of Transportation.</t>
  </si>
  <si>
    <t>* Sales tax rate increased from 5% to 6% on 1/3/2008.</t>
  </si>
  <si>
    <t>* A complete listing of local taxes can be found at the Minnesota Department of Revenue website by searching with the term "Local Taxes".</t>
  </si>
  <si>
    <t>For the local sales tax rates, please go to http://dor.mo.gov/business/sales/rates/2017/</t>
  </si>
  <si>
    <r>
      <t>*  Note: City or county local tax  of 0.5%, 1.0%</t>
    </r>
    <r>
      <rPr>
        <sz val="14"/>
        <color rgb="FFFF0000"/>
        <rFont val="Arial"/>
        <family val="2"/>
        <scheme val="minor"/>
      </rPr>
      <t>,</t>
    </r>
    <r>
      <rPr>
        <sz val="14"/>
        <rFont val="Arial"/>
        <family val="2"/>
        <scheme val="minor"/>
      </rPr>
      <t xml:space="preserve"> 1.5%, </t>
    </r>
    <r>
      <rPr>
        <sz val="14"/>
        <color rgb="FFFF0000"/>
        <rFont val="Arial"/>
        <family val="2"/>
        <scheme val="minor"/>
      </rPr>
      <t>1.75%, or 2.0%</t>
    </r>
    <r>
      <rPr>
        <sz val="14"/>
        <rFont val="Arial"/>
        <family val="2"/>
        <scheme val="minor"/>
      </rPr>
      <t xml:space="preserve"> may apply when the state tax is due.  See Reg. 1-007 for Gross Receipts Defined.</t>
    </r>
  </si>
  <si>
    <t xml:space="preserve">*  For all services listed TPP consumed, used, or sold in conjunction with the service is taxable.  Additionally, there are  County option taxes allowed for a total rate of up to 8.265 % in electing counties. In addition Nevada has a gross recipts tax that taxes all services at different rates depending on the business'  NAICS code. It is called the Commerce Tax and there are no deductions for COGS or expenses. </t>
  </si>
  <si>
    <t xml:space="preserve">*  There is no state or local sales taxes in New Hampshire.  The state does impose meals and rentals, telecommunications and electricity consumption taxes. </t>
  </si>
  <si>
    <t>*  Excludes government services; many farming and ranching, provided by certain nonprofit entities other than research and development performed out of state but used in state, for resale,  etc.</t>
  </si>
  <si>
    <t>State sales tax rate. Additional local rates may apply.</t>
  </si>
  <si>
    <t xml:space="preserve">*Items subject to the general State rate of sales or use tax are subject to the applicable local and applicable transit rates of tax with exceptions noted for mobile homes, modular homes, aircraft, and qualified jet engines.  </t>
  </si>
  <si>
    <t>* In general, service providers must pay sales or use tax on the cost of all tangible personal property used to provide services. Local sales, use, lodging, and restaurant taxes may apply on transactions subject to state tax. See Local Option Taxex by Location guideline at www.nd.gov/tax.</t>
  </si>
  <si>
    <t>*  May include county or transit district add-on tax rate. Additional information can be found at tax.ohio.gov.</t>
  </si>
  <si>
    <t>*   Local option rate is in addition to state sales tax rate.</t>
  </si>
  <si>
    <t>* Oregon does not have a sales tax.</t>
  </si>
  <si>
    <r>
      <t xml:space="preserve">* The sale and purchase of tangible personal property subject to the state sales and use tax rate is also subject to local sales and use tax collected and administered by the Department of Revenue on the behalf of counties and other jurisdictions unless otherwise specifically exempt. In most counties, the SCDOR administers and collects a local sales and use tax on behalf of local jurisdictions ranging from 1% - 2.5% (see SC Information Letter #17-2 for more details on local taxes effective March 1, 2017). Additional local tax changes will be effective as of May 1, 2017. As a result of the May 1, 2017 local tax changes, the SCDOR will administer and collect a local sales and use tax on behalf of local jurisdictions ranging from 1% to 3%. A separate information letter, not available at the time of this survey, will be issued reflecting those local tax changes. Note: Department advisory opinions (revenue rulings) and regulations referenced above can be found at the Department's website at </t>
    </r>
    <r>
      <rPr>
        <b/>
        <sz val="14"/>
        <rFont val="Arial"/>
        <family val="2"/>
        <scheme val="minor"/>
      </rPr>
      <t>dor.sc.gov</t>
    </r>
    <r>
      <rPr>
        <sz val="14"/>
        <rFont val="Arial"/>
        <family val="2"/>
        <scheme val="minor"/>
      </rPr>
      <t xml:space="preserve"> under "</t>
    </r>
    <r>
      <rPr>
        <b/>
        <sz val="14"/>
        <rFont val="Arial"/>
        <family val="2"/>
        <scheme val="minor"/>
      </rPr>
      <t>Resources</t>
    </r>
    <r>
      <rPr>
        <sz val="14"/>
        <rFont val="Arial"/>
        <family val="2"/>
        <scheme val="minor"/>
      </rPr>
      <t xml:space="preserve">&gt; </t>
    </r>
    <r>
      <rPr>
        <b/>
        <sz val="14"/>
        <rFont val="Arial"/>
        <family val="2"/>
        <scheme val="minor"/>
      </rPr>
      <t>Law and Policy</t>
    </r>
    <r>
      <rPr>
        <sz val="14"/>
        <rFont val="Arial"/>
        <family val="2"/>
        <scheme val="minor"/>
      </rPr>
      <t>."</t>
    </r>
  </si>
  <si>
    <t>*  Exempts health and education services; services performed on projects located outside South Dakota; sales commissions; social services; and some other categories by specific lists.</t>
  </si>
  <si>
    <t xml:space="preserve">*  A local option sales tax has been adopted by all cities or counties at rates ranging from 1.5% to 2.75%, and is in addition to the 7% state tax. </t>
  </si>
  <si>
    <t>* Plus local taxes of up to 2%.</t>
  </si>
  <si>
    <r>
      <t xml:space="preserve">*  4.7 state rate - local rates range between </t>
    </r>
    <r>
      <rPr>
        <sz val="14"/>
        <color rgb="FFFF0000"/>
        <rFont val="Arial"/>
        <family val="2"/>
        <scheme val="minor"/>
      </rPr>
      <t>1.25% and 3.90%</t>
    </r>
    <r>
      <rPr>
        <sz val="14"/>
        <rFont val="Arial"/>
        <family val="2"/>
        <scheme val="minor"/>
      </rPr>
      <t xml:space="preserve">. </t>
    </r>
  </si>
  <si>
    <r>
      <t xml:space="preserve">*  Includes 4.3% state tax and 1% state-wide local tax. </t>
    </r>
    <r>
      <rPr>
        <sz val="14"/>
        <color rgb="FFFF0000"/>
        <rFont val="Arial"/>
        <family val="2"/>
        <scheme val="minor"/>
      </rPr>
      <t>Additional 0.7% tax in the Northern Virginia and Hampton Roads regions for a total rate of 6% in those regions.</t>
    </r>
  </si>
  <si>
    <t>*  State retail sales tax rate only; local sales tax rates not shown.</t>
  </si>
  <si>
    <r>
      <t xml:space="preserve">*  Generally all services except personal and professional are taxable.  Exemptions include sales to government or nonprofit organizations, sales of radio and broadcasting time, etc.  </t>
    </r>
    <r>
      <rPr>
        <b/>
        <sz val="14"/>
        <color theme="3"/>
        <rFont val="Arial"/>
        <family val="2"/>
        <scheme val="minor"/>
      </rPr>
      <t xml:space="preserve">The 1% tax on sales, purchases and uses of food and food ingredients intended for human consumption terminated after June 30, 2013 (W. Va.Code </t>
    </r>
    <r>
      <rPr>
        <b/>
        <sz val="14"/>
        <color theme="3"/>
        <rFont val="Calibri"/>
        <family val="2"/>
      </rPr>
      <t>§</t>
    </r>
    <r>
      <rPr>
        <b/>
        <sz val="10.5"/>
        <color theme="3"/>
        <rFont val="Calibri"/>
        <family val="2"/>
      </rPr>
      <t xml:space="preserve"> 11-15-3a).</t>
    </r>
  </si>
  <si>
    <t>* Note that each of Wyoming's 23 counties can impose additional option taxes of up to 3% and lodging taxes of up to 4%. See Tax Rate Chart</t>
  </si>
  <si>
    <t xml:space="preserve">* Effective January 1, 2007, a surcharge equal to 1/2% applies to all gross receipts from goods and services that are sold to customers in the City and County of Honolulu and that are subject to GET or Use Tax at 4%.  </t>
  </si>
  <si>
    <t>NAIC</t>
  </si>
  <si>
    <t>Agricultural Services</t>
  </si>
  <si>
    <t>.</t>
  </si>
  <si>
    <t xml:space="preserve">   Soil prep., custom baling, other ag. services</t>
  </si>
  <si>
    <t>E</t>
  </si>
  <si>
    <t>*  Soil preparation may be taxable under the prime contracting classification.</t>
  </si>
  <si>
    <t>* Taxable only if provided to industrial, commercial, or income-producing real property.</t>
  </si>
  <si>
    <t>*  Tax rate applies to gross receipts in excess of $100,000 per month.</t>
  </si>
  <si>
    <t>*  Tangible personal property use in performing agricultural services may be taxable to the service provider.</t>
  </si>
  <si>
    <t>* Note: The Michigan agricultural production exemption provides a sales and use tax exemption for tangible personal property sold to persons engaged in a business enterprises and used for agricultural or horticultural production.  See MCL 205.94f; 205.54a(1)(e).</t>
  </si>
  <si>
    <t xml:space="preserve">*  B&amp;O tax paid by the firm.  </t>
  </si>
  <si>
    <t>*  Sales of tangible property or taxable services purchased for use or consumption in connection with the commercial production of an agricultural product are exempt.</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</si>
  <si>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Agricultural Publication</t>
  </si>
  <si>
    <t xml:space="preserve">   Veterinary services (both large and small animal)</t>
  </si>
  <si>
    <t>* Veterinary responsible for tax on tangible personal propery used in the business; sales of tangible personal property taxable.</t>
  </si>
  <si>
    <t>*  Pet grooming service is taxable.</t>
  </si>
  <si>
    <t>* Charges for veterinary services are exempt, but sale or use of medicines for non-agricultural animals are taxable.</t>
  </si>
  <si>
    <t xml:space="preserve">  </t>
  </si>
  <si>
    <t>* See Reg. 1-078</t>
  </si>
  <si>
    <t>* Only professional medical services are exempt.</t>
  </si>
  <si>
    <t xml:space="preserve">* Receipts from veterinary services, medicine or supplies used in the medical treatment of cattle are deductible. </t>
  </si>
  <si>
    <r>
      <t xml:space="preserve">* Veterinary services are not listed as a taxable service under Tex. Tax Code </t>
    </r>
    <r>
      <rPr>
        <b/>
        <sz val="14"/>
        <color rgb="FFFF0000"/>
        <rFont val="Arial"/>
        <family val="2"/>
        <scheme val="minor"/>
      </rPr>
      <t xml:space="preserve">Sec. </t>
    </r>
    <r>
      <rPr>
        <sz val="14"/>
        <rFont val="Arial"/>
        <family val="2"/>
        <scheme val="minor"/>
      </rPr>
      <t>151.0101.</t>
    </r>
  </si>
  <si>
    <r>
      <t>*  Professional services are exempt in West Virginia from sales tax</t>
    </r>
    <r>
      <rPr>
        <sz val="14"/>
        <rFont val="Arial"/>
        <family val="2"/>
        <scheme val="minor"/>
      </rPr>
      <t xml:space="preserve">. </t>
    </r>
    <r>
      <rPr>
        <b/>
        <sz val="14"/>
        <color theme="4"/>
        <rFont val="Arial"/>
        <family val="2"/>
        <scheme val="minor"/>
      </rPr>
      <t xml:space="preserve"> </t>
    </r>
    <r>
      <rPr>
        <b/>
        <u/>
        <sz val="14"/>
        <color theme="3"/>
        <rFont val="Arial"/>
        <family val="2"/>
        <scheme val="minor"/>
      </rPr>
      <t xml:space="preserve">"Professional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t>
    </r>
    <r>
      <rPr>
        <b/>
        <u/>
        <sz val="14"/>
        <color theme="3"/>
        <rFont val="Calibri"/>
        <family val="2"/>
      </rPr>
      <t xml:space="preserve">§ 11-15-1 </t>
    </r>
    <r>
      <rPr>
        <b/>
        <i/>
        <u/>
        <sz val="14"/>
        <color theme="3"/>
        <rFont val="Calibri"/>
        <family val="2"/>
      </rPr>
      <t xml:space="preserve">et seq. </t>
    </r>
    <r>
      <rPr>
        <b/>
        <u/>
        <sz val="14"/>
        <color theme="3"/>
        <rFont val="Calibri"/>
        <family val="2"/>
      </rPr>
      <t>to be professional.</t>
    </r>
  </si>
  <si>
    <t>*  Wyoming does not currently administer sales tax on veterinary services. However purchases by veterinarians are taxable business purchases. No exemption exists complimentary to human use for medications, equipment, etc. See Agricultural Publication.</t>
  </si>
  <si>
    <t xml:space="preserve">   Horse boarding and training (not race horses)</t>
  </si>
  <si>
    <t>* Boarding taxable only if properly considered pet boarding</t>
  </si>
  <si>
    <t>*  Tax due on tangible personal property consumed, not on services performed.</t>
  </si>
  <si>
    <t>* Training is exempt as a professional service.</t>
  </si>
  <si>
    <r>
      <t>* Horse boarding services are not listed as a taxable service under Tex. Tax Code</t>
    </r>
    <r>
      <rPr>
        <b/>
        <sz val="14"/>
        <color rgb="FFFF0000"/>
        <rFont val="Arial"/>
        <family val="2"/>
        <scheme val="minor"/>
      </rPr>
      <t xml:space="preserve"> Sec.</t>
    </r>
    <r>
      <rPr>
        <sz val="14"/>
        <rFont val="Arial"/>
        <family val="2"/>
        <scheme val="minor"/>
      </rPr>
      <t xml:space="preserve"> 151.0101.</t>
    </r>
  </si>
  <si>
    <t>*  Boarding taxable under Sec. 77.52(2)(a)10, Wis. Stats.  Training is not a taxable service.</t>
  </si>
  <si>
    <t>*  See Agricultural Publication.</t>
  </si>
  <si>
    <t xml:space="preserve">   Pet grooming</t>
  </si>
  <si>
    <t>* Grooming performed for veterinary purposes is not taxable if it is an integral part of the nontaxable service of veterinary care.</t>
  </si>
  <si>
    <t xml:space="preserve">* Taxable both state and local sales tax. </t>
  </si>
  <si>
    <t xml:space="preserve">* Pet grooming services (except for horses and service animals or for veterinary purposes), including shampooing, clipping, trimming, nail cutting, and other grooming services are taxable at 6.875% plus any applicable local rates. </t>
  </si>
  <si>
    <t>*  Considered service to tangible personal property.</t>
  </si>
  <si>
    <t>* All pet care services, except for veterinary and laboratory testing services, are taxable.</t>
  </si>
  <si>
    <t>*   Pet washing, except for medicinal purposes, is taxable while grooming services are not.  A bundled charge for washing and grooming is taxable.</t>
  </si>
  <si>
    <t>*  Taxable as washing/cleaning of taxable personal property (TPP).</t>
  </si>
  <si>
    <t>*  Taxable under sec. 77.52(2)(a)10 Wis. Stats. as cleaning or maintenance of tangible personal property.</t>
  </si>
  <si>
    <t xml:space="preserve">   Landscaping services (including lawn care)</t>
  </si>
  <si>
    <t>* Lawn care services to residential property (single family dwelling) are exempt.</t>
  </si>
  <si>
    <t>*  Landscaping is generally taxable under the prime contracting classification.  Lawn maintenance services are not generally taxable if the contract does not include landscaping activities. Taxable landscaping activities include installing lawns, grading or leveling ground, installing gravel or boulders, planting trees and other plants, felling trees, removing or mulching tree stumps, removing other imbeded plants building or mofifying irrigation berms, repairing sprinkler or watering systems, installing railroad ties and installing underground sprinkler or watering systems. Non-taxable lawn maintenance includes lawn mowing and edging, weeding, repairing sprinkler heads or drip irrigation heads, seasonal replacement of flowers, refreshing gravel, lawn de-thatching, seeding winter lawns leaf and debris collections and removal, tree or shrub pruning or clipping, garden and gravel raking and applying pesticides and fertilizer materials.</t>
  </si>
  <si>
    <t>*Lawn care falls under DC reg. 472</t>
  </si>
  <si>
    <t>* Landscaper responsible for tax on tangible personal propery used in landscape business</t>
  </si>
  <si>
    <t>*  Taxable if TPP is provided and not separately stated on the bill; lawn care taxable in full.</t>
  </si>
  <si>
    <t>*  Exempt if performed in connection with new construction.</t>
  </si>
  <si>
    <t>*Mowing, trimming, aerating, raking, tilling, tree removal are exempt.</t>
  </si>
  <si>
    <t>*  Initial seeding or sodding of a lawn, installing or moving plants, trees or bushes, and construction contracts for the improvement of real property are exempt.  Lawn and garden care, fertilizing, mowing, spraying, and sprigging services; garden planting and maintenance; tree, bush, and shrub pruning, bracing, spraying and surgery; indoor plant care; tree, bush, shrub, and stump removal; and tree trimming for public utility lines are taxable.</t>
  </si>
  <si>
    <t>*  Grading, excavating, ditching, dredging and landscaping(contouring, forming or functional alteration of the land) planting of flowers, planting of shrubs or trees and the establishment of lawns are taxable.  Lawn mowing, tree trimming and shrub trimming are exempt.</t>
  </si>
  <si>
    <t xml:space="preserve">* See Reg. 1-100 Pest Control Services and Reg. 1-017, Contractors.  Certain parts of landscaping services, such as pest control, and certain construction projects are taxable.  </t>
  </si>
  <si>
    <t>*  Taxable unless an exempt capital improvement (e.g., installation of a new fence, pond, underground sprinkler, hardscaping - deck, paver patio, walkway, driveway, retaining wall, pool deck).</t>
  </si>
  <si>
    <t>*Tax is not due on the gross receipts.  Rather purchases to fulfill the services are taxed in accordance with G.S. 105-164.4H.</t>
  </si>
  <si>
    <t>*  Material subject to 5% use tax.</t>
  </si>
  <si>
    <t>*  See lawncare and landscaping information release.</t>
  </si>
  <si>
    <t>*  Lawn care is taxable, designing landscapes, planting trees, and maintaining landscape is exempt.</t>
  </si>
  <si>
    <t>* Depending on the service, could potentially be subject to contractors' excise tax (2%)</t>
  </si>
  <si>
    <t>*  Sale of shrubbery, trees, etc. Constitutes taxable sale.</t>
  </si>
  <si>
    <t>*  plus 0.471% B&amp;O tax paid by the firm. Exempt for farmers.</t>
  </si>
  <si>
    <t>*  Initial planting of trees and shrubs are exempt as a capital improvement.</t>
  </si>
  <si>
    <t>*  Landscaping and lawn maintenance, including planning and counseling, taxable.</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</si>
  <si>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Sales Tax Guide for the Construction Industry</t>
  </si>
  <si>
    <t>See Rules 12A-1.0215, 12A-1.051, and 12A-1.087, F.A.C.</t>
  </si>
  <si>
    <t>Industrial and Mining Services</t>
  </si>
  <si>
    <t xml:space="preserve">   Metal, non-metal and coal mining services</t>
  </si>
  <si>
    <t>*  Removal and replacement of overburden is taxable as prime contracting.  Nonmetalliferous mining services are taxable at 3.125% under the mining classification.</t>
  </si>
  <si>
    <t>* Taxable if provided to industrial, commercial or income-producing real property.</t>
  </si>
  <si>
    <t>*  Tangible property used in performing these services may be taxable to person performing the service.</t>
  </si>
  <si>
    <t>* Excavation, without more, is a taxable service, but excavation for mining is normally an exempt service performed in connection with new construction.</t>
  </si>
  <si>
    <t>*  Exempt if service provider is subject to taxation on mineral production under Resource Excise Tax Act.</t>
  </si>
  <si>
    <t>]</t>
  </si>
  <si>
    <t>* directly in producing TPP for sale by mining</t>
  </si>
  <si>
    <t>*  B&amp;O tax paid by the firm; depends upon nature of the service</t>
  </si>
  <si>
    <t>*  Sales of tangible property or taxable services directly used or consumed in the activities of natural resource production are exempt from tax.</t>
  </si>
  <si>
    <t>*  See Mining Publication</t>
  </si>
  <si>
    <t xml:space="preserve">   Seismograph &amp; Geophysical Services</t>
  </si>
  <si>
    <t>* Services performed in connection with geophysical surveying, exploring, developing, drilling, producing, distributing, or testing of oil, gas, water and other mineral resources are taxable at the regular retail rate of sales tax unless subject to the 3.5% contractor's tax.</t>
  </si>
  <si>
    <t>* directly in exploration</t>
  </si>
  <si>
    <t>*  W.S. 39-15-105(a)(viii)(B) exempts the sales of services of professional engineers, geologists or members of similar professions. It applies to any and all seismographic and geophysical surveying, stratigraphic testing, coring, logging and testing calculated to reveal the existence of geological conditions favorable to the accumulation of oil or gas.</t>
  </si>
  <si>
    <t xml:space="preserve">   Oil Field Services</t>
  </si>
  <si>
    <t>*  Repair services taxable.</t>
  </si>
  <si>
    <t>*  Taxable under the prime contracting classification.</t>
  </si>
  <si>
    <t>*Taxable both state and local sales tax on existing well.                                                                                                                        * Labor services of installing or applying tangible personal property on original construction of a well are exempt.</t>
  </si>
  <si>
    <r>
      <t xml:space="preserve">*  Drilling contracts in excess of $10,000 are taxable at 3.5% </t>
    </r>
    <r>
      <rPr>
        <sz val="14"/>
        <color rgb="FFFF0000"/>
        <rFont val="Arial"/>
        <family val="2"/>
        <scheme val="minor"/>
      </rPr>
      <t>(contractor's tax)</t>
    </r>
    <r>
      <rPr>
        <sz val="14"/>
        <rFont val="Arial"/>
        <family val="2"/>
        <scheme val="minor"/>
      </rPr>
      <t xml:space="preserve">.  </t>
    </r>
    <r>
      <rPr>
        <sz val="14"/>
        <color rgb="FFFF0000"/>
        <rFont val="Arial"/>
        <family val="2"/>
        <scheme val="minor"/>
      </rPr>
      <t xml:space="preserve"> See answer above for other oil field services.</t>
    </r>
  </si>
  <si>
    <t>* directly in production of crude oil and natural gas</t>
  </si>
  <si>
    <t>* A severance tax of 6% of the grosss value at the well is levied on the production of oil and gas.</t>
  </si>
  <si>
    <t>* Labor to start, stimulate, increase production, and work on formation outside the well bore are not subject to Oil Well Service Tax.</t>
  </si>
  <si>
    <t>*  Taxable if for sale or rental of TPP.</t>
  </si>
  <si>
    <t xml:space="preserve">*  W.S. 39-15-103(a)(i)(K) imposes tax on the sales price paid for all services and tangible personal property used in rendering services to real or tangible personal property within an oil or gas well site beginning with and including the setting and cementing of production casing, or if production casing is not set as in the case of an open hole completion, after the completion of the underreaming or the attainment of total depth of the oil or gas well and continuing with all activities sequentially required for the production of any oil or gas well regardless of the chronological occurrence of the activity. All services required during the entire productive life of the well, including recompletion, all the way through abandonment shall be subject to this subparagraph. The provisions of W.S. 39-15-301 through 39-15-311 and W.S. 39-16-304 through 39-16-311 shall not apply to this subparagraph. W.S. 39-15-105(a)(viii)(B) exempts the services of professional engineers, geologists or members of similar professions including the sales price paid for all services to real or tangible personal property leading to building location, drilling and all related activities that must be completed prior to setting the production casing, including coring, logging and testing done prior to the setting of production casing for the drilling of any oil or gas well or for the deepening or extending of any well previously drilled for oil or gas beyond the maximum point to which they were initially drilled. The exemption in this subparagraph shall also apply to any and all seismographic and geophysical surveying, stratigraphic testing, coring, logging and testing calculated to reveal the existence of geologic conditions favorable to the accumulation of oil or gas. </t>
  </si>
  <si>
    <t xml:space="preserve">   Typesetting service; platemaking for the print trade</t>
  </si>
  <si>
    <t>* Exempt if there is no transfer of tangible personal property</t>
  </si>
  <si>
    <t>*  Taxable under the job printing classification.</t>
  </si>
  <si>
    <t xml:space="preserve">* Typesetting services are nontaxable.  Fabrication of plates and film for printing is subject to tax.       </t>
  </si>
  <si>
    <t>* Platemaking exempt if purchased by a printer.</t>
  </si>
  <si>
    <t xml:space="preserve">*  Tangible property used in performing this service may be taxable to person performing the service.  Service is taxable at 6% when TPP is transferred to person.  </t>
  </si>
  <si>
    <t>* Printer is responsible for tax on tangible personal property purchased for use in typesetting. Plates, dies and mats are exempt.</t>
  </si>
  <si>
    <t xml:space="preserve">*  Sales to businesses primarily devoted to printing exempt. </t>
  </si>
  <si>
    <t>Taxable both state and local sales tax.</t>
  </si>
  <si>
    <t xml:space="preserve">*  Provided title is not conveyed to customer. </t>
  </si>
  <si>
    <t>*  An exemption for this service is currently suspended. Taxed at 4% until July 1, 2009; exempt for periods thereafter.</t>
  </si>
  <si>
    <t xml:space="preserve">Sales of tangible personal property by printers, litographers, typographers, etc. are generally taxable.  If a printer imprints on customer-provided material, then the transaction is not taxable. See R 205.113.  </t>
  </si>
  <si>
    <t>* Prepress services that result in the sale of printed material are taxable. Printing press plates may qualify for specific exemptions as separate detachable units or as special tooling.</t>
  </si>
  <si>
    <t>*Taxable as repair, maintenance , and installation services generally. Some transactions exempt from sales and use tax and subject to the 1% certain machinery and equipment tax imposed per Article 5F of Chapter 105.</t>
  </si>
  <si>
    <t>*  Sale of plates to printer subject to tax.</t>
  </si>
  <si>
    <t>All transactions by which printed, imprinted, overprinted, lithographic, multilithic, blueprinted, photostatic, or other productions or reproductions of written or graphic matter are or are to be furnished or transferred are considered a taxable sale.</t>
  </si>
  <si>
    <t>* Exempt if purchased by a printer or publisher.</t>
  </si>
  <si>
    <t>*  Taxable if sale of TPP not for resale.</t>
  </si>
  <si>
    <t>* Exempt if used directly in the manufacturing process</t>
  </si>
  <si>
    <t>*  plus 0.471% B&amp;O tax paid by the firm.</t>
  </si>
  <si>
    <t>*  Platemaking exempt, typesetting taxable.</t>
  </si>
  <si>
    <t>*  May be exempt under sec. 77.54(2) or (2m) Wis. Stats.</t>
  </si>
  <si>
    <t>Construction</t>
  </si>
  <si>
    <t>237/238</t>
  </si>
  <si>
    <t xml:space="preserve">   Gross Income of Construction Contractors</t>
  </si>
  <si>
    <t>*  A construction contractor that is a prime contractors on a project is taxable under the prime contracting classification on its gross receipts from the project.</t>
  </si>
  <si>
    <t xml:space="preserve">*  Construction contractors are generally consumers of "materials" furnished and retailers of "fixtures."  Services are not taxable (except jobsite fabrication of fixtures).   </t>
  </si>
  <si>
    <t>*  Taxable only if rendered in conjunction with existing commercial, industrial or income producing property; exempt if new construction or residential property.</t>
  </si>
  <si>
    <t>*  Tax rate applies to gross receipts in excess of $100,000 per month.  Non-resident contractor pays a 6% bond requirement.</t>
  </si>
  <si>
    <t>* Contractor responsible for tax on all tangible personal property.</t>
  </si>
  <si>
    <t>*  Deduction available for qualifying subcontracted work.</t>
  </si>
  <si>
    <t>* No sales tax is imposed upon the labor services of installing or applying tangible personal property in connection with the original construction of a building or facility, the original construction, reconstruction, restoration, remodeling, renovation, repair or replacement of a residence or the construction, reconstruction, restoration, replacement or repair of a bridge or highway. Labor service of installing or applying tangible personal property on existing commercial property are subject to both state and local sales tax.</t>
  </si>
  <si>
    <t>*  Labor exempt, parts and materials are use taxable to contractor..</t>
  </si>
  <si>
    <t>*  Note: A contractor working on real property is considered the consumer of all materials used on the contract, and is therefore not making a retail sale of materials.  See Revenue Administrative Bulletins (RAB) 2016-24 and 2016-18.</t>
  </si>
  <si>
    <t>* Retail sales of material without labor are taxable.</t>
  </si>
  <si>
    <t>* For non-residential contracts over $10,000, a 3.5% tax is imposed on the value of the contract.  For contracts under $10,000, the 7% sales tax is imposed on material purchases by the contractor.  Apartments and condominiums are considered non-residential for purposes of the 3.5% tax beginning July 1, 2007.</t>
  </si>
  <si>
    <t>*  License fee measured by gross receipts of "public" contractors.  Work on federal research facilities is excluded.</t>
  </si>
  <si>
    <t>* Charges are exempt as long as an exempt capital improvement.</t>
  </si>
  <si>
    <t xml:space="preserve">*  Sub-contractor can deduct if prime provides Type 6 NTTC to sub. A deduction is also available receipts from providing military construction services at a New Mexico military installation located in Curry County to implement special operations mission transition projects. </t>
  </si>
  <si>
    <t>*  Contractors' excise tax applies to all construction services in Division C</t>
  </si>
  <si>
    <t>*  Taxable if repair or installation of tangible personal property.  Exempt if services performed on real property.  Made to order sales of tangible personal property are taxable.</t>
  </si>
  <si>
    <t>* Labor on all new construction and residential structures is nontaxable.  For new construction and residential repair and remodeling, only separately-stated charges for materials are taxable.</t>
  </si>
  <si>
    <t>*  If the activity results in a capital improvement then the service performed is exempt from tax.  However, the contractor is subject to tax on all purchases of goods and services used in the performance of a capital improvement contract.</t>
  </si>
  <si>
    <t>*  Real property construction only.</t>
  </si>
  <si>
    <t>*  Wyoming does not currently administer a gross income tax on construction services.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t>
  </si>
  <si>
    <t xml:space="preserve">   Carpentry, painting, plumbing and similar trades.</t>
  </si>
  <si>
    <t>*  Flooring services performed in an existing structure are taxable.</t>
  </si>
  <si>
    <t xml:space="preserve">*  Construction contractors are generally consumers of "materials" furnished and retailers of "fixtures."  Services are not taxable (except jobsite fabrication of fixtures).     </t>
  </si>
  <si>
    <t>*  Contractors generally owe sales tax on the cost price of TPP (or fabricated cost if applicable) used to perform real property improvements.  See Rules 12A-1.043 and 12A-1.051, F.A.C.</t>
  </si>
  <si>
    <r>
      <t xml:space="preserve">*  Electricians, electrical work, wiring, insulating, plumbing or pipe fitting, tin and sheet metal shops, woodworking and wood turning shops, and welding are taxable.  These are subject to the 3.5% contractor's tax in lieu of the sales tax if they are done in the performance of a non-residential contract exceeding $10,000.  Apartments and condominiums are considered non-residential for purposes of the 3.5% tax beginning July 1, 2007.  </t>
    </r>
    <r>
      <rPr>
        <sz val="14"/>
        <color rgb="FFFF0000"/>
        <rFont val="Arial"/>
        <family val="2"/>
        <scheme val="minor"/>
      </rPr>
      <t>Real property painting is not subject to regular sales tax but is subject to the 3.5% contractor's tax if the job is non-residential and exceeds $10,000.</t>
    </r>
  </si>
  <si>
    <t>*  Exempt as long as an exempt capital improvement.</t>
  </si>
  <si>
    <t>*  Taxable if the work is repair or maintenance</t>
  </si>
  <si>
    <t>*Some transaction are subject to tax as repair, maintenance, and installation services.  Other transactions taxed pursuant to G.S. 105-164.4H as real property contracts or mixed contracts.</t>
  </si>
  <si>
    <t>*  The transfer of property as part of lawncare and landscaping services is never a construction contract.  See lawncare and landscaping information release.   http://www.tax.ohio.gov/Portals/0/communications/information_releases/landscaping%20info%20release%2011-2012%20FINAL.pdf</t>
  </si>
  <si>
    <t>* Labor on all new construction and residential structures is nontaxable. For new construction and residential repair and remodeling, only separately-stated material charges are taxable to the customer.</t>
  </si>
  <si>
    <t>*  If for services on real property.</t>
  </si>
  <si>
    <t xml:space="preserve">   Construction service (grading, excavating, etc.)</t>
  </si>
  <si>
    <t xml:space="preserve">*Note: Unless otherwise exempt, a contractor is required to pay sales or use tax on all items used to provide the contractor's service, including equipment, supplies, materials, and any other non-exempt tangible personal property it uses or consumes.  See Revenue Administrative Bulletins 2016-24 and 2016-18.   </t>
  </si>
  <si>
    <t>*  Subject to the 3.5% contractor's tax in lieu of the sales tax if they are done in the performance of a non-residential contract exceeding $10,000.  Apartments and condominiums are considered non-residential for purposes of the 3.5% tax beginning July 1, 2007.</t>
  </si>
  <si>
    <t>* Except clearing land for a new development and clearing and filling of land performed in connection with the installation of structures.</t>
  </si>
  <si>
    <t>* Labor is nontaxable if work is to prepare for new or residential construction.</t>
  </si>
  <si>
    <t>*  Landscaping taxed.</t>
  </si>
  <si>
    <t xml:space="preserve">   Water well drilling</t>
  </si>
  <si>
    <t>*  Taxable under the prime contracting classification, with an exemption for well monitoring that is required by law.</t>
  </si>
  <si>
    <t xml:space="preserve">*  Construction contractors are generally consumers of "materials" furnished and retailers of "fixtures."  Services are not taxable (except jobsite fabrication of fixtures). </t>
  </si>
  <si>
    <t>*  Labor services on original drilling of a well are exempt, as are services if water well is part of residence.  Labor services of installing or applying tangible personal property on existing commercial well are subject to tax.</t>
  </si>
  <si>
    <t>* plus 0.471% B&amp;O tax paid by the firm.</t>
  </si>
  <si>
    <t>Transportation Services</t>
  </si>
  <si>
    <t xml:space="preserve">   Income from  intrastate transportation of persons</t>
  </si>
  <si>
    <t>*  Taxable under the transporting classification, although taxation of the air transport of persons is generally exempt as preempted by federal law.</t>
  </si>
  <si>
    <t>* Taxable if provided by livery services</t>
  </si>
  <si>
    <t>*  Annual license for 1st vehicle is $45, additional vehicles is $30.</t>
  </si>
  <si>
    <t>*  This service can be taxable if the passenger has control of the vehicle.  D.C. Mun. Regs. 9  §462 .</t>
  </si>
  <si>
    <t>*  TPP used in performing these services is taxable to service provider.</t>
  </si>
  <si>
    <t>* Transportation charges by urban transit systems, public transit authorities or local gov. are exempt.</t>
  </si>
  <si>
    <t>*  Exempt from general excise tax; subject to public service company tax; air carriers pre-empted by federal law.  On October 1, 2001, motor carriers were transferred out of the public service company tax chapter into the general excise tax chapter.</t>
  </si>
  <si>
    <t>T</t>
  </si>
  <si>
    <t>not sales tax, but we have a transportation tax that is 3% of the total fare</t>
  </si>
  <si>
    <t>* Except limousine services that begin and end in NJ are taxable, prior to 5/1/17.</t>
  </si>
  <si>
    <t>*  Intercity taxi or bus exempt from municipal gross receipts tax.  Intercounty exempt from all local option taxes.</t>
  </si>
  <si>
    <t>*  Except transportation of persons where the fare of each person does not exceed one dollar, transportation of pupils to and from elementary or high schools, tourist service transportation, by taxicabs, and funeral trans. for family members, charter or tour bus trans.</t>
  </si>
  <si>
    <t>* Includes Transportation Network Companies</t>
  </si>
  <si>
    <t>*  Airplane travel is exempt.</t>
  </si>
  <si>
    <t>* Public utility tax; motor transportation classification.</t>
  </si>
  <si>
    <t>*  Exempt if subject to regulation by the West Virginia Public Service Commission.</t>
  </si>
  <si>
    <t>*  W.S. 39-15-103(a)(i)(D) imposes sales tax on the sales price paid for intrastate transportation of passengers.</t>
  </si>
  <si>
    <t xml:space="preserve">   Local transit (intra-city) buses</t>
  </si>
  <si>
    <t>*  Honolulu city and county owned transit receipts are exempt; others taxable, subject to public service company tax.  On October 1, 2001, motor carriers were transferred out of the public service company tax chapter into the general excise tax chapter.</t>
  </si>
  <si>
    <t>*  Taxable at 5% intrastate plus local option; exempt if interstate.</t>
  </si>
  <si>
    <t>* Receipts are exempt.  Purchases of buses are subject to the 3% state rate of highway use tax with maximum of $2,000 pursuant to G.S. 105-187.3</t>
  </si>
  <si>
    <t>*  See resort tax information release. http://www.tax.ohio.gov/sales_and_use/information_releases/st200803.aspx</t>
  </si>
  <si>
    <t>* Charter bus services are taxable at 7% but public bus transportation services are exempt.</t>
  </si>
  <si>
    <t>* Public utility tax; urban transportation classification.</t>
  </si>
  <si>
    <t xml:space="preserve">   Income from taxi operations</t>
  </si>
  <si>
    <t>*  Generally, transporting for hire of persons, freight or property by motor vehicle is subject to tax under the transporting classification.  Nevertheless, this gross income is exempt if the business is subject to the motor carrier fee or light motor vehicle fee to the Arizona Department of Transportation.</t>
  </si>
  <si>
    <t>* Limousine service is taxable</t>
  </si>
  <si>
    <t>*  Intercity taxi or bus exempt from local gross receipts tax.</t>
  </si>
  <si>
    <t xml:space="preserve">   Intrastate courier service</t>
  </si>
  <si>
    <t>* Charges for transportation services by an independent contract or common carrier are not subject to tax.  However, charges for transportation may be taxable when a retailer sells tangible personal property and the retailer delivers the property with its own vehicle.</t>
  </si>
  <si>
    <t xml:space="preserve">* 6.35 on armored car services </t>
  </si>
  <si>
    <t>*  Taxable when delivery originates and terminates in DC.</t>
  </si>
  <si>
    <t>*  Non-air service is taxable.</t>
  </si>
  <si>
    <t>*  Exempt from local gross receipts tax.</t>
  </si>
  <si>
    <t>*  Except bonded courier service taxed as a protective service.</t>
  </si>
  <si>
    <t>* shipping fees associated with taxable sales are taxable.</t>
  </si>
  <si>
    <t>* Armed courier services are taxable security services.</t>
  </si>
  <si>
    <t>*  W.S. 39-15-105(a)(viii)(A)(II) exempts the intrastate transportation of freight or property, including oil and gas by pipeline. See WY Dept of Rev Rules Chap 2, Sec 5(i).</t>
  </si>
  <si>
    <t xml:space="preserve">   Interstate air courier (billed in-state)</t>
  </si>
  <si>
    <t>*  Sale of air transportation exempt under 49 U.S.C. section 40116.</t>
  </si>
  <si>
    <t>Storage</t>
  </si>
  <si>
    <t xml:space="preserve">       Automotive storage</t>
  </si>
  <si>
    <t>*  Generally subject to tax under the commercial lease classification (state tax rate is 0% but county and city privilege taxes apply), but exempt if the storage is similar to a warehouse and the person does not have access to stored goods.</t>
  </si>
  <si>
    <t>*  The rate has changed from 12% to 18%. It is exempt if the parking lot is owned or operated by WMATA.  If parking for residential, then the rate is exempt (DC reg. 454.1) The rate is also scheduled to go up to 22% after October 1, 2017.</t>
  </si>
  <si>
    <t>*  Storage is subject to sales tax unless the owner has no access to the stored property.  TPP used in performing  these services is taxable to service provider.</t>
  </si>
  <si>
    <t>*  Taxable when provided by auto hotels and parking lots.</t>
  </si>
  <si>
    <t>* Certain parking services are taxable (see #127).</t>
  </si>
  <si>
    <r>
      <t xml:space="preserve">*  </t>
    </r>
    <r>
      <rPr>
        <sz val="14"/>
        <color rgb="FFFF0000"/>
        <rFont val="Arial"/>
        <family val="2"/>
        <scheme val="minor"/>
      </rPr>
      <t>Public storage warehouses are subject to sales tax on their gross income; however, i</t>
    </r>
    <r>
      <rPr>
        <sz val="14"/>
        <rFont val="Arial"/>
        <family val="2"/>
        <scheme val="minor"/>
      </rPr>
      <t>ncome received from the temporary storage of tangible personal property in this state pending shipping or mailing of the property outside this state is exempt from tax.</t>
    </r>
  </si>
  <si>
    <t>*  Taxable unless stored items for resale.</t>
  </si>
  <si>
    <t>*  Subject to additional local rates in New York City</t>
  </si>
  <si>
    <t>* Provided separately stated and identified as such on an invoice or other documentation given to the purchaser at the time of the sale in accordance with G.S. 105-164.13(66).</t>
  </si>
  <si>
    <t>* See storage tax information release.  http://www.tax.ohio.gov/sales_and_use/information_releases/st200311.aspx</t>
  </si>
  <si>
    <t>*  Self-storage services are taxable.</t>
  </si>
  <si>
    <t>*  Lots operated by government entities exempt if parking meters or other payment receptacles used.</t>
  </si>
  <si>
    <t>*  Taxable as parking if temp. and vehicle is available for use on short notice, otherwise it's exempt.</t>
  </si>
  <si>
    <t xml:space="preserve">*  Wyoming does not impose sales tax on the sales price paid for the lease or rental of real property ouside of lodging services enumerated through W.S. 39-15-103(a)(i)(G). </t>
  </si>
  <si>
    <t xml:space="preserve">       Food storage</t>
  </si>
  <si>
    <t>*  Taxable if it is the storage of raw agricultural products, unless the warehouse ships the raw agricultural product out of Iowa.</t>
  </si>
  <si>
    <t>*  Except food stored in a cold storage facility with the rental of a specific storage space.  Cold storage where the custodian determines the storage space is not subject to tax.</t>
  </si>
  <si>
    <r>
      <t xml:space="preserve">*  </t>
    </r>
    <r>
      <rPr>
        <sz val="14"/>
        <color rgb="FFFF0000"/>
        <rFont val="Arial"/>
        <family val="2"/>
        <scheme val="minor"/>
      </rPr>
      <t>Public storage warehouses are subject to sales tax on their gross income; however, i</t>
    </r>
    <r>
      <rPr>
        <sz val="14"/>
        <color indexed="8"/>
        <rFont val="Arial"/>
        <family val="2"/>
        <scheme val="minor"/>
      </rPr>
      <t>ncome from the storage of perishable goods is exempt.   Income received from the temporary storage of tangible personal property in this state pending shipping or mailing of the property outside this state is exempt from tax.</t>
    </r>
  </si>
  <si>
    <t>*  Receipts from warehousing unprocessed agricultural products are deductible.</t>
  </si>
  <si>
    <t>*  Assume items stored are for resale</t>
  </si>
  <si>
    <t>* Unless part of sales price of food and is a charge by the retailer necessary to complete the sale of food.</t>
  </si>
  <si>
    <t xml:space="preserve">       Fur storage</t>
  </si>
  <si>
    <t>*  Where such storage is classified as cold storage.</t>
  </si>
  <si>
    <t>* Clothing storage is taxable.</t>
  </si>
  <si>
    <t>*  Storage of property is taxable, but rental of real property for storage is exempt</t>
  </si>
  <si>
    <t>*  Charges for cleaning, glazing or dying furs are taxable. If charges for storing a fur is separate from the cleaning, glazing or dyeing charges, then such storage charges are not taxable.</t>
  </si>
  <si>
    <t xml:space="preserve">       Household goods storage</t>
  </si>
  <si>
    <t>*  Locker rentals also taxable.</t>
  </si>
  <si>
    <t>*   Standard rate of 5.75%</t>
  </si>
  <si>
    <t xml:space="preserve">*  Tax due on tangible personal property consumed, not on services performed. Items sold are subject to the tax. </t>
  </si>
  <si>
    <t xml:space="preserve">*Receipts from the storage of property that has moved or will move in interstate or foreign commerce is deductible. </t>
  </si>
  <si>
    <t>* In-transit storage for not more than 180 days exempt.</t>
  </si>
  <si>
    <t xml:space="preserve">       Mini -storage</t>
  </si>
  <si>
    <t xml:space="preserve">*  Except for cold storage where the customer rents a specific space or location. </t>
  </si>
  <si>
    <t>*  Mini-storage units where the customer rents a unit and puts their own lock to control access to the unit are not subject to Mississippi sales tax.  This is deemed the rental of realestate.</t>
  </si>
  <si>
    <t>* Mini-storage becomes taxable if services are provided in conjunction with the storage.</t>
  </si>
  <si>
    <t>*  Taxable if used to store boat.</t>
  </si>
  <si>
    <t>*  Portable or mobile storage containers are subject to tax per W.S. 39-15-103(a)(i)(B).</t>
  </si>
  <si>
    <t xml:space="preserve">       Cold storage</t>
  </si>
  <si>
    <t>*  Taxable if for periods less than 30 days.</t>
  </si>
  <si>
    <t>*  Taxable for raw agricultural products.</t>
  </si>
  <si>
    <t>*  Cold storage rental of a specific storage space.Cold storage where the custodian determines the storage space is not subject to tax. Cold storage is an artificially refrigerated or frozen space and includes preparing tangible personal property where such service is incidental to operation of storage facilities.</t>
  </si>
  <si>
    <t>71393/811490</t>
  </si>
  <si>
    <t xml:space="preserve">   Marina Service (docking, storage, cleaning, repair)</t>
  </si>
  <si>
    <t xml:space="preserve">* Non-comrc'l vessel storage/mooring charges taxable @ 6.35%, exclusive of dry/wet storage/mooring of such vessel during period Nov. thru May 31 </t>
  </si>
  <si>
    <t>*  Docking, storage and cleaning exempt. The only taxable services of a boat pertain to boat rentals</t>
  </si>
  <si>
    <t>* Service provider responsible for tax on tangible personal property.</t>
  </si>
  <si>
    <t>*  Loading or unloading of cargo is exempt.</t>
  </si>
  <si>
    <t>*  Dock rentals and repair labor exempt.  Material and parts taxable.</t>
  </si>
  <si>
    <t>* Boat repair is taxable</t>
  </si>
  <si>
    <t>*  Taxable (both state and local sales tax), Repair and cleaning of boat; exempt docking and storage of boat.</t>
  </si>
  <si>
    <t>*  Repairs to movable property are taxable.</t>
  </si>
  <si>
    <t>* A repair service shall collect a tax on parts or any materials which it furnishes in connection with repair work.  See Regulation 830 CMR 64H.1.1.</t>
  </si>
  <si>
    <t>* Sales of repair parts are taxable.</t>
  </si>
  <si>
    <r>
      <t xml:space="preserve">*  </t>
    </r>
    <r>
      <rPr>
        <sz val="14"/>
        <color rgb="FFFF0000"/>
        <rFont val="Arial"/>
        <family val="2"/>
        <scheme val="minor"/>
      </rPr>
      <t>Marina services are subject to sales tax on the gross income of the services provided including docking, storage, cleaning and repair.</t>
    </r>
  </si>
  <si>
    <t>* See Reg 1-082 Repair parts and Labor Charges are taxable</t>
  </si>
  <si>
    <t>*  Docking charges are exempt.</t>
  </si>
  <si>
    <t>*  Charges for mooring a boat, using a slip, dockage and wharfage are exempt.</t>
  </si>
  <si>
    <t>*Sales price of installed repair parts, and repair, maintenance, and installation services to boats are taxable including cleaning.</t>
  </si>
  <si>
    <t>*  Repair services and storage taxable.</t>
  </si>
  <si>
    <t>*  Parts and materials only taxable.</t>
  </si>
  <si>
    <t>*  Dock and storage fees are exempt, unless self-storage..</t>
  </si>
  <si>
    <t>*  Parts &amp; materials only taxable.  Gasoline is exempt.</t>
  </si>
  <si>
    <t>* Supplies used aboard ships plying the high seas are exempt. For repairs, materials which pass to the repairman's customers and which do not lose their identy when used by the repairman and which are a substantial part of their repair job (such as auto repair parts) are taxable sales. If charges for installation labor are separately stated, then such charge are not taxable. See SC Regulation 117-306</t>
  </si>
  <si>
    <t>*  Cleaning and repair on boats taxable.  Boat docking and storage is exempt.</t>
  </si>
  <si>
    <t>* Charges to clean or repair boats primarly used in a noncommercial manner are taxable. Charges for docking and storage are not taxable.</t>
  </si>
  <si>
    <t>*  Cleaning and repairing taxable; storage exempt.</t>
  </si>
  <si>
    <t>*  docking of boats &gt; 30 days is exempt. Cleaning &amp; repair subj. to sales tax.</t>
  </si>
  <si>
    <t>*  W.S. 39-15-103(a)(i)(J). Dock &amp; storage is exempt. Marine repair and maintenance services are taxable per W.S. 39-15-103(a)(i)(J).</t>
  </si>
  <si>
    <t>??</t>
  </si>
  <si>
    <t xml:space="preserve">   Marine towing service (incl. tugboats)</t>
  </si>
  <si>
    <t>*  Taxable under the transporting classification.</t>
  </si>
  <si>
    <t>*  Exempt for tugboat services, including pilotage fees, performed within Hawaii involving towage of ships, barges, or vessels in and out of state harbors, or from one pier to another.</t>
  </si>
  <si>
    <t>*  Taxable (Both state and local sales ) if boat towed and repaired; exempt if towing only.</t>
  </si>
  <si>
    <t>*  Exempt if performed on a commercial vessel.</t>
  </si>
  <si>
    <t>*  Towing is taxable if in conjunction with a repair.</t>
  </si>
  <si>
    <t>*  Public utility tax.</t>
  </si>
  <si>
    <t>*  Marine towing taxable; tugboat service exempt if tugboat is hauling vessel of a 50 ton burden used in interstate commerce.</t>
  </si>
  <si>
    <t xml:space="preserve">   Travel agent services</t>
  </si>
  <si>
    <t>*  Annual license fee of $225.</t>
  </si>
  <si>
    <t>*  Commissions are taxable.  Branch operation in Hawaii of an out-of-state tour agency is apportioned.</t>
  </si>
  <si>
    <t>*  Commissions received from maritime transportation companies and interstate bus, airline and passenger train companies are deductible.  Other commissions are taxable.</t>
  </si>
  <si>
    <t>*  Except transportation explained above.</t>
  </si>
  <si>
    <t xml:space="preserve">*  B&amp;O tax paid by the firm (taxable on commissions received).  </t>
  </si>
  <si>
    <t>* Sales of taxable products and services made by a travel agent are taxable (e.g., lodging)</t>
  </si>
  <si>
    <t xml:space="preserve">   Packing and crating</t>
  </si>
  <si>
    <t>*  Exempt if there is no sale of materials involved.</t>
  </si>
  <si>
    <t>* Except when provided with the sale of tangible personal property by its retailer</t>
  </si>
  <si>
    <t>*  Packing and crating performed for others is taxable providing the articles do not belong to the provider of packing services.</t>
  </si>
  <si>
    <t>*  Packing material sold for use in agricultural, livestock, or dairy production is exempt. Packing material sold to retailers or manufacturers for the purpose of packaging or facilitating the transportation of tangible personal property sold at retail or transferred in association with the maintenance or repair of fabric or clothing is also exempt.</t>
  </si>
  <si>
    <t>* Taxable both state and local sales tax</t>
  </si>
  <si>
    <t>*Sales of crates or boxes are taxable.</t>
  </si>
  <si>
    <t>* Unless incidental to storage.</t>
  </si>
  <si>
    <t xml:space="preserve">*Unless "delivery charges" and  part of the sales price of tangible personal property other than delivery charges for direct mail  provided the delivery charges are separately stated on the invoice or other documentation given to the purchaser at the time of the sale. </t>
  </si>
  <si>
    <t>*  Packing material taxable to the consumer.</t>
  </si>
  <si>
    <t>* Sales of packing materials is taxable</t>
  </si>
  <si>
    <t>*  Taxable if packaging material is sold to the customer</t>
  </si>
  <si>
    <t>Utility Service - Industrial Use</t>
  </si>
  <si>
    <t xml:space="preserve">      Intrastate telephone &amp; telegraph</t>
  </si>
  <si>
    <t>*  Exempt from sales tax.  Subject to 6% utility tax.</t>
  </si>
  <si>
    <t>*  Intrastate telephone taxed.</t>
  </si>
  <si>
    <t>*  Taxable under the telecommunications classification.</t>
  </si>
  <si>
    <t xml:space="preserve">* (911) Emergency telephone user's surcharge is exempt from sales &amp; use tax. Intrastate charges are subject to excise tax.  Current rate is .75%. This rate (.75%) will be effective until Dec 31, 2017. </t>
  </si>
  <si>
    <t>*  Prepaid telephone calling services also taxable at 6.35%.</t>
  </si>
  <si>
    <t>* Public utility service is also subject to the gross receipts tax of 11%</t>
  </si>
  <si>
    <t>* Subject to Communications Services Tax Service tax, not sales tax.  See http://floridarevenue.com/taxes/taxesfees/Pages/cst.aspx for rates</t>
  </si>
  <si>
    <t>* Local telephone service</t>
  </si>
  <si>
    <t xml:space="preserve">*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</si>
  <si>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*6% sales tax, 3% telecom excise tax, 1.3% telecom gross revenues, up to 3% utility gross receipts license tax (KRS 139.200, 136.604, 136.616, 136.602, 160.613)</t>
  </si>
  <si>
    <t xml:space="preserve">Subject to Service Provider Tax. </t>
  </si>
  <si>
    <t xml:space="preserve">* See MCL 205.93a(1)(a).  </t>
  </si>
  <si>
    <t>On retail sales of telecomm services when transmission originates or terminates in MT</t>
  </si>
  <si>
    <t>RSA 82-A, Communications Services Tax</t>
  </si>
  <si>
    <r>
      <t>* Separately stated interstate service is exempt. Telecommunications carriers are subject to 2</t>
    </r>
    <r>
      <rPr>
        <sz val="14"/>
        <rFont val="Calibri"/>
        <family val="2"/>
      </rPr>
      <t>½% gross receipts tax on gross receipts.</t>
    </r>
  </si>
  <si>
    <t>* subscriber telecommunications service and VoIP service $0.75 per access line per month and prepaid wireless services $0.75 per transaction, regardless of the value or frequency of purchase</t>
  </si>
  <si>
    <t>* Public Utilities Gross Earnings Tax of 5% applies in addition to state sales tax of 7%</t>
  </si>
  <si>
    <t>* Local service only taxable. Intrastate long distance exempt. Bundled charges are taxable, except non-taxable portion may not be subject to the tax if certain conditions are met.Examples of taxable communication services as set forth in SC Revenue Ruling #06-8 include (1) Telephone services (not specifically exempted under Code Section 12-36-2120(11)), including telephone services provided via the traditional circuit-committed protocols of the public switched telephone network (PSTN), a wireless transmission system, a voice over Internet protocol ("VoIP"), or any of other method; (2) Teleconferencing Services; (3) Paging Services (See SC Information Letter #89-28.): (4) Answering Services (See SC Information Letter #89-28.); (5) Cable Television Services ; (6) Satellite Programming Services and Other Programming Transmission Services (includes, but is not limited to, emergency communication services and television, radio, music or other programming services); (7) Fax Transmission Services (See SC Revenue Ruling #89-14.); (8) Voice Mail Messaging Services (See SC Revenue Ruling #89-14.); (9) E-Mail Services (See SC Revenue Ruling #89-14.); (10) Electronic Filing of Tax Returns when the return is electronically filed by a person who did not prepare the tax return (See SC Revenue Ruling #91-20.); (11) Database Access Transmission Services (On-Line Information Services), such as legal research services, credit reporting/research services, charges to access an
individual website  (including Application Service Providers), etc. (not including computer database information services provided by a cooperative service when the database information has been assembled by and for the exclusive use of the members of the cooperative services) (See SC Revenue Ruling #89-14 and SC Private Letter Ruling #89-21.); (12) Prepaid Wireless Calling Arrangements (sale or recharge at retail) as defined in Code Section 12-36-910(B)(5) (For information on prepaid telephone calling cards that do not come within the definition of prepaid wireless calling arrangements, see SC Revenue Ruling #04-4.); and (13) 900/976 Telephone Service (The State tax rate on this type of communication service is 10% (11% beginning June 1, 2007), not 5% (or 6% beginning June 1, 2007).) Examples of non taxable communication services as set forth in SC Revenue Ruling #06-8 include (1) Telephone services specifically exempted under Code Section 12-36-2120(11), such as toll charges between telephone exchanges and carrier access charges and customers access line charges established by the Federal Communications Commission or the South Carolina Public Service Commission; (2) Telegraph Messages (Code Section 12-36-2120(11)); (3) Communication Services involving Automatic Teller Machines (Code Section 12-36-2120(11)); (4) Data Processing Services as defined under Code Section 12-36-910(C); (5) Computer Database Information Services provided by a cooperative service when the database information has been assembled by and for the exclusive use of the members of the cooperative services (Code Section 12-36-60); and (6) Electronic Filing of Tax Returns when the return is electronically filed by a person who prepared the tax return (See SC Revenue Ruling #91-20.).</t>
  </si>
  <si>
    <t>*  All calls that originate and terminate in SD.</t>
  </si>
  <si>
    <r>
      <t xml:space="preserve">*  Also subject to the following per line service charges: </t>
    </r>
    <r>
      <rPr>
        <sz val="14"/>
        <color rgb="FFFF0000"/>
        <rFont val="Arial"/>
        <family val="2"/>
        <scheme val="minor"/>
      </rPr>
      <t>$0.71 for 911 Emergency Service Charge, $.09 for Unified Statewide 911 Emergency Service Charge, $.18 for Radio Network Charge</t>
    </r>
  </si>
  <si>
    <t>*  Telephone &amp; telegraph services are subject to the Communications Sales and Use Tax at 5%. Equipment is subject to the sales tax at 5.3%.  Separately stated labor for installation or maintenance of wiring or equipment is exempt.</t>
  </si>
  <si>
    <t>*  W.S. 39-15-103(a)(i)(C) imposes sales tax on the sales price paid for intrastate telecommunications services including the consideration paid for the sale, rental or lease of any equipment or ancillary service incidental thereto, and the sales price paid for intrastte calls which originate and teminate in a single state and are billed to a customer with a place of primary use in this state from mobile telecommuncations services as provided by the MTSA 4 USC 116-126.</t>
  </si>
  <si>
    <t xml:space="preserve">      Interstate telephone &amp; telegraph</t>
  </si>
  <si>
    <t>*  Exempt from sales tax.  Subject to separate utility tax.</t>
  </si>
  <si>
    <t>*  Interstate telephone taxed if billed to and beginning or ending in state.</t>
  </si>
  <si>
    <t>*  If bundled with taxable intrastate telecom service, provider can use reasonable allocation percentages to determine its taxable gross receipts.</t>
  </si>
  <si>
    <t>*  Access charges for interstate calling taxable at 2.9%</t>
  </si>
  <si>
    <t>*  Taxable if originating or terminating in Connecticut and billed in Connecticut.  Prepaid telephone calling services also taxable at 6.35%.</t>
  </si>
  <si>
    <t>*  Interstate telephone service is exempt from the sales tax but subject to the toll telecommunication gross receipts tax.  The rate is 11% for non-residential users</t>
  </si>
  <si>
    <t>*  Calls originating or terminating in state and billed in state are taxable.</t>
  </si>
  <si>
    <t xml:space="preserve">* Same as previous entry, except separately itemized interstate phone charges are exempt from UGRLT. </t>
  </si>
  <si>
    <t>*  Taxed at 2% until April 1, 2016; taxed at 1% thereafter.</t>
  </si>
  <si>
    <t xml:space="preserve">Exempt from Service Provider Tax.  </t>
  </si>
  <si>
    <t>* See MCL 205.93a(1)(c).</t>
  </si>
  <si>
    <t>*  Taxed under the Interstate Telecommunications Gross Receipts Tax.  Interbusiness access charges exempt.</t>
  </si>
  <si>
    <t xml:space="preserve">*  Taxable if call originates or terminates in state and is billed in-state. </t>
  </si>
  <si>
    <t>* Interstate and international 800, private line services, and value-added nonvoice date services are exempt</t>
  </si>
  <si>
    <t>*See Remarks for line item #29 above,</t>
  </si>
  <si>
    <t>*  Any communication service that originates or terminates in SD &amp; billed or charged to a service address in SD.</t>
  </si>
  <si>
    <t xml:space="preserve">*Exempt from local tax. Sourced to jurisdiction where call originates or terminates and in which service address is also located. If sold on a basis other than call by call,  sourced to the customer's place of primary use. Sourcing of telecommunications sales is consistent with Mobile Telecommunications Act and Streamlined Sales and Use Tax Agreement. </t>
  </si>
  <si>
    <t>* Only service originating in and billed to a telephone number or billing or service address in the state is taxable.</t>
  </si>
  <si>
    <t>*  Taxable if sourced to WI (place of primary use, assuming not sold on a call-by-call basis).</t>
  </si>
  <si>
    <t xml:space="preserve">      Cellular telephone services</t>
  </si>
  <si>
    <t>*  Exempt from sales tax.  Subject to 6% Mobile Communication Services Tax.</t>
  </si>
  <si>
    <t>* Sales of cellular telephones are subject to sales tax.  Cellular phone service is taxed the same as other phone service for 911 surcharge purposes.  However, service is not subject to sales &amp; use tax.   New tax imposed on sales of prepaid mobile telephony services operative January 1, 2016.  Rate is subject to change each year.  Current statewide rate is 5.90%</t>
  </si>
  <si>
    <t>*  Also must pay E911 surcharge of $.60 per line/phone.</t>
  </si>
  <si>
    <t>*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t>
  </si>
  <si>
    <t>*  If phone is sold or leased, sales tax is due.  Separately stated internet access charges are exempt</t>
  </si>
  <si>
    <t>* Same as  line 5171, entry # 29.</t>
  </si>
  <si>
    <t>Subject to Service Provider Tax</t>
  </si>
  <si>
    <t>* See MCL 205.93b.</t>
  </si>
  <si>
    <t>Apples to mobile telecomm services for which the charges are billed by or for the customer's home service provider. Prepaids sold by third parties are excluded.</t>
  </si>
  <si>
    <t>* Except for interstate telephone charges.</t>
  </si>
  <si>
    <t>*  Taxed under Telecommunications Tax.</t>
  </si>
  <si>
    <t xml:space="preserve">* If single telecommunications charge includes intrastate and interstate calling, the bundled telecommunications service is taxed at 7% state and 2.5% local tax rate.  If sold on a basis other than call by call,  sourced to the customer's place of primary use.  Sourcing of telecommunications sales is consistent with Mobile Telecommunications Act and Streamlined Sales and Use Tax Agreement. </t>
  </si>
  <si>
    <t>*  Telephone services are subject to the Communications Sales and Use Tax at 5%. Equipment is subject to the sales tax at 5.3%.  Separately stated labor for installation or maintenance of wiring or equipment is exempt.</t>
  </si>
  <si>
    <t xml:space="preserve">*  Taxable if customer's place of primary use is in WI.  </t>
  </si>
  <si>
    <t xml:space="preserve">      Electricity</t>
  </si>
  <si>
    <t>*  Exempt from sales tax.  Subject to 4% utility tax.</t>
  </si>
  <si>
    <t xml:space="preserve">*  Used in the manufacture of aluminum metal by electrolytic reduction exempt.  Used in qualifying steel mill exempt. Used in the manufacturing of wall &amp; floor tile exempt if the manufacturer began construction of Arkansas facility prior to 1/1/03. Electricity sold through meters registered with the Department as being used "directly in the actual manufacturing process" is taxed at a reduced tax rate of 0.625%.  Electricity consumed by electricity generators is taxed at a reduced tax rate of 1.625%. </t>
  </si>
  <si>
    <t>*  Taxable under the utilities classification.</t>
  </si>
  <si>
    <t>*  Exempt from sales and use tax when delivered to consumers through mains, lines, or pipes.  The electrical energy surcharge applies to the consumption of electrical energy in this state.  Current rate is $.00022/kwh.</t>
  </si>
  <si>
    <t>*  Use in manufacturing, processing, mining, refining, irrigation, construction, telegraph, telephone, and radio communication, street and railroad transportation services and all industrial uses exempt.   Commercial use of Electricity, natural gas, and other fuel is taxable</t>
  </si>
  <si>
    <t>*  Exempt for agriculture, fabrication and manufacturing when not less than 75% consumed for production, fabrication or manufacturing.  Otherwise, electricity is taxable if over $150 per month.</t>
  </si>
  <si>
    <t>*  Rate is 2.00% for electricity &amp; natural gas used by manufacturers and food processors.  Auto manufacturers are exempt.</t>
  </si>
  <si>
    <t>*  Industrial use is subject to the sales tax.  Manufacturing and processing use is exempt upon application.  Public utility service is subject to the 10% gross receipts tax.</t>
  </si>
  <si>
    <t xml:space="preserve">*  Taxed at 4.35%. Effective 7/1/96 certain manufactures may be exempt from sales tax on electricity.  (See ch. 96-320, Laws of Florida)  TPP used in performing these services is taxable to service provider.  </t>
  </si>
  <si>
    <t>*  May be partial to 100% exempt if consumed in direct production or in providing public transportation for persons or property.</t>
  </si>
  <si>
    <t>*  Processing and agricultural production exempt.</t>
  </si>
  <si>
    <t>*  Taxable both state and local sales tax. Qualified Manufacturing use exempt.</t>
  </si>
  <si>
    <t xml:space="preserve">*  6% sales and use tax, up to 3% utility gross receipts license tax (UGRLT). Energy and energy-producing fuels used in the course of manufacturing, processing, mining or refining are exempt to the extent that the energy cost exceeds 3% of the cost of production for both sales and UGRLT. </t>
  </si>
  <si>
    <t>*  Electricity purchased for nonresidential purposes taxed at 3.9% until July 1, 2009; exempt thereafter. Special exemption for steelworks and blast furnaces.</t>
  </si>
  <si>
    <t>*  5% of sale price of fuel and electricity used at a manufacturing facility is taxable. Remaining 95% is exempt.</t>
  </si>
  <si>
    <t>*  Manufacturing use exempt.</t>
  </si>
  <si>
    <t>* Uses for industrial production of tangible personal property or heating of industrial plants exempt, if 75% or more of the fuel is used for manufacturing.  Exemption certificate required.</t>
  </si>
  <si>
    <t>* May be exempt under the industrial processing exemption</t>
  </si>
  <si>
    <t>* Exempt if consumed in agricultural or industrial production of a product to be sold at retail.</t>
  </si>
  <si>
    <r>
      <t xml:space="preserve">*  Agricultural and manufacturing industrial use </t>
    </r>
    <r>
      <rPr>
        <sz val="14"/>
        <color rgb="FFFF0000"/>
        <rFont val="Arial"/>
        <family val="2"/>
        <scheme val="minor"/>
      </rPr>
      <t>is exempt from sales tax.  Sales of electricity to churches are exempt.</t>
    </r>
  </si>
  <si>
    <t>*  Manufacturing use in excess of 10% of primary or secondary production cost exempt  or if 25% of materials are recycled materials.</t>
  </si>
  <si>
    <t xml:space="preserve">Consumer counsel and public service commission tax rate determined each year and apply to gross income of regulated public utilities.  Cons. counsel rate 0.10%; public serv. comm. rate 0.39%. </t>
  </si>
  <si>
    <t>* Exempt when more than 50% is purchased for direct use in processing, mnfg., refining, irrigation or farming; in electrical generation or when purchased by a for profit hospital.</t>
  </si>
  <si>
    <t>RSA 83-E, Electricity Consumption Tax ($.00055 per kilowatt hour)</t>
  </si>
  <si>
    <t>*  Exemption only applies if used directly and exclusively in production.</t>
  </si>
  <si>
    <t xml:space="preserve">*  G.S. 105-164.13 provides exemptions for certain purchases by a "small power production facility," electricity used at a "major recycling facility," sales or electricity by a municipality whose only wholesale supplier of electric power is a federal agency subject to specific requirements, "electricity for use at an "elgible Internet datacenter" or at a "qualifying datacenter," electricity sold to a manufacturer for use in connection with the operation of a manufacturing facility at which the primary activity is manufacturing, electricity sold to certain metal recyclers for use in recycling at its facility at which the primary activity is recycling, electricity purchased by a qualifying or conditional farmer provided the electricity is measured by a separate meter or another separate device and use for a purpose other than preparing food, heated dwellings, or other household purposes. </t>
  </si>
  <si>
    <t xml:space="preserve">*  When delivered through wires. </t>
  </si>
  <si>
    <t>*  Exempt if direct manufacturing use.</t>
  </si>
  <si>
    <t>*  Direct use or consumption in manufacturing, farming, processing or rendering public utility service exempt.</t>
  </si>
  <si>
    <t>* Public Utilities Gross Earnings Tax of 4% applies to non-manufacturing use or consumption</t>
  </si>
  <si>
    <t xml:space="preserve">* Electricity, natural gas, and other fuels used in manufacturing, processing, mining and quarrying tangible personal property for sale is exempt. Electricity used by radio and TV stations to produce, broadcast or distribute programs exempt. See SC Regulation 117-302 and 117-328 for more details. Fuel used by transportation companies for motive power exempt, Fuel used in farm machinery and farm tractors exempt. Fuel used in commercial fishing vessels exempt. Fuel used to cured agricultural products or to irrigate crops exempt. Electricity, natural gas, propane, or fuels of any type, oxygen, hydrogen, nitrogen, or gasses of any type used by a qualified recycling facility exempt. </t>
  </si>
  <si>
    <t>*  Electricity used to power agricultural irrigation units exempt.</t>
  </si>
  <si>
    <t>* Exempt from local option tax.</t>
  </si>
  <si>
    <t>* Exempt when used directly in manufacturing, mining, or agricultural activities.</t>
  </si>
  <si>
    <t>*  Municipal Energy Sales and Use Tax may apply up to 6%.</t>
  </si>
  <si>
    <t>*  Agricultural and manufacturing use exempt.</t>
  </si>
  <si>
    <t>*  Exempt if used directly in production.</t>
  </si>
  <si>
    <t xml:space="preserve">* Public utility tax. </t>
  </si>
  <si>
    <t>*  Subject to alternative business and occupation tax.  Based upon taxable capacity</t>
  </si>
  <si>
    <t xml:space="preserve">*  Farming use exempt.  Fuel and electricity consumed in manufacturing tangible personal property in Wisconsin exempt. </t>
  </si>
  <si>
    <t>*  W.S. 39-15-103(a)(i)(D) imposes sales tax on the sales price paid to public utilities and to persons furnishing gas, electricity or heat for domestic, industrial or commercial consumption. W.S. 39-15-105(a)(iii)(D) exempts the sale of power and fuel directly consumed in manufacturing, processing and agriculture.</t>
  </si>
  <si>
    <t xml:space="preserve">      Water</t>
  </si>
  <si>
    <t>* Exempt when delivered by mains, lines or pipes or as bottled water.</t>
  </si>
  <si>
    <t>* Exempt when delivered through public water mains.</t>
  </si>
  <si>
    <t>*  Honolulu city and county owned receipts are exempt, others taxable, subject to public services company tax.  State rate of 4% with rate in excess of 4% payable to applicable county where an exemption from county real property tax is allowed.</t>
  </si>
  <si>
    <t>* 6% sales and use tax and up to 3% UGRLT.</t>
  </si>
  <si>
    <t>*  Water purchased for nonresidential purposes taxed at 3.9% until July 1, 2009; exempt thereafter.</t>
  </si>
  <si>
    <t>*  Exempt if ingredient or component part of, or consumed or destroyed or loses its identity directly and primarily in production of, tangible personal property.</t>
  </si>
  <si>
    <t>* Sales of water to churches are exempt</t>
  </si>
  <si>
    <t>* Exempt from state tax and local use tax, but not local sales tax if used or consumed in producing a product.</t>
  </si>
  <si>
    <t>* Exempt when 90% or more purchased for direct use in manufacturing or irrigation of agricultural lands.</t>
  </si>
  <si>
    <t>*  Exempt if delivered through mains.</t>
  </si>
  <si>
    <t>*  Water sold by governmental agency is exempt from gross receipts tax but subject to governmental gross receipts tax.</t>
  </si>
  <si>
    <t>*  Sales of water exempt if delivered through main lines or pipes</t>
  </si>
  <si>
    <t>*  Exempt if sold by public utility and delivered through pipes or wires.</t>
  </si>
  <si>
    <t>*  Direct use or consumption in manufacturing exempt.</t>
  </si>
  <si>
    <t>*Water sold by public utilities and certain nonprofits exempt.</t>
  </si>
  <si>
    <t>* 1% state, .5% local.</t>
  </si>
  <si>
    <t>*  Water is exempt if delivered through a pipe.  Bottled water is taxable.</t>
  </si>
  <si>
    <t>*  Exempt if used directly in production or delivered via mains, lines or pipes.</t>
  </si>
  <si>
    <t xml:space="preserve">*  Subject to alternative business and occupation tax. </t>
  </si>
  <si>
    <t>*  W.S. 39-15-105(a)(vi)(D) exempts the sale of water delivered by pipeline or truck</t>
  </si>
  <si>
    <t xml:space="preserve">      Natural gas</t>
  </si>
  <si>
    <t>*  Used in qualifying steel mill exempt. Used in the manufacturing of wall &amp; floor tile exempt if the manufacturer began construction of Arkansas facility prior to 1/1/03. Used as fuel in the process of manufacturing glass exempt. Natural Gas sold through meters registered with the Department as being used "directly in the actual manufacturing process" is taxed at a reduced tax rate of 0.625%.  Natural Gas consumed by electricity generators is taxed at a reduced tax rate of 1.625%.</t>
  </si>
  <si>
    <t xml:space="preserve">* Exempt when delivered as a gas through mains, lines and pipes.  The natural gas surcharge applies to the consumption of natural gas in this state.  Rate varies depending on the classification of the consumer.  </t>
  </si>
  <si>
    <t xml:space="preserve">*  Exempt for agriculture, fabrication and manufacturing when not less than 75% consumed for production, fabrication or manufacturing.  </t>
  </si>
  <si>
    <t>*  Use in manufacturing, processing, compounding or production process ("boiler fuel") exempt.  Use in hotels and restaurants is taxable.  TPP used in performing these services is taxable to service provider.</t>
  </si>
  <si>
    <t>*Exempt for the production of electricty for resale.</t>
  </si>
  <si>
    <t>* Taxable both state and local sales tax. Qualified Manufacturing use exempt.</t>
  </si>
  <si>
    <t xml:space="preserve">*  6% sales and use tax, up to 3% UGRLT. Energy and energy-producing fuels used in the course of manufacturing, processing, mining or refining are exempt to the extent that the energy cost exceeds 3% of the cost of production for both sales tax and UGRLT. </t>
  </si>
  <si>
    <t>*  Natural gas purchased for nonresidential purposes taxed at 3.9% until July 1, 2009; exempt thereafter.</t>
  </si>
  <si>
    <t>*  Exempt if consumed in agricultural or industrial production of a product to be sold at retail.</t>
  </si>
  <si>
    <r>
      <t>*  Agricultural and manufacturing industrial use</t>
    </r>
    <r>
      <rPr>
        <sz val="14"/>
        <color rgb="FFFF0000"/>
        <rFont val="Arial"/>
        <family val="2"/>
        <scheme val="minor"/>
      </rPr>
      <t xml:space="preserve"> is exempt from sales tax.  Sales of natural gas to churches are exempt.</t>
    </r>
  </si>
  <si>
    <t>*  Natural gas used exclusively for drying agricultural crops or used in the primary manufacture or processing of fuel ethanol is exempt.  Also, exempt if consumed in any material recovery processing plant</t>
  </si>
  <si>
    <t xml:space="preserve">* Exempt when more than 50% is purchased for direct use in processing, mnfg., refining, irrigation or farming; in electrical generation or when purchased by a for profit hospital. </t>
  </si>
  <si>
    <t xml:space="preserve">* Provided piped natural gas.  G.S. 105-164.13 provides exemptions for:  piped natural gas used by a "small power production facility" to generate electricity; piped natural gas used in the direct performance of the laundering or the pressing and cleaning service; piped natural gas sold to a manufacturer for use in connection with the operation of a manufacturing facility but does not include piped natural gas that is used solely for comfort heating at a manufacturing facility where there is no use of fuel or piped natural gas in a manufacturing process; piped natural gas sold to a secondary metals recycler for use in recycling at its facility at which the primary activity is recycling; piped natural gas that is measured by a separate meter or another separate device and used for a purpose other than preparing food, heating dwellings, and other household purposes. </t>
  </si>
  <si>
    <t xml:space="preserve">*  Exempt if sold by public utility and delivered through pipes or wires.  </t>
  </si>
  <si>
    <t>* Public Utilities Gross Earnings Tax of 3% applies to non-manufacturing use or consumption</t>
  </si>
  <si>
    <t>*See Remarks for line item #32 above.</t>
  </si>
  <si>
    <t>*  Industrial production exempt and gas delivered to customers through mains, lines or pipes exempt.</t>
  </si>
  <si>
    <t>*  Subject to alternative business and occupation tax. Exempt for Non-public Utilities Sales</t>
  </si>
  <si>
    <t xml:space="preserve">*  Farming use exempt. Fuel and electricity consumed in manufacturing tangible personal property in Wisconsin exempt. </t>
  </si>
  <si>
    <t xml:space="preserve">      Other fuel (including heating oil)</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</si>
  <si>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state tax.  Some cities specifically impose a privilege tax on jet fuel sales.</t>
  </si>
  <si>
    <t>*  Generally taxable, except for liquid petroleum gas (LPG) when used for by a qualified person in an agricultural activity.</t>
  </si>
  <si>
    <t>*  Use in manufacturing, processing, mining, refining, irrigation, construction, telegraph, telephone, and radio communication, street and railroad transportation services and all industrial uses exempt.  Commercial use of Electricity, natural gas, and other fuel is taxable</t>
  </si>
  <si>
    <t xml:space="preserve">*  Exempt for agriculture, fabrication and manufacturing when not less than 75% consumed for production, fabrication or manufacturing.    </t>
  </si>
  <si>
    <t>*  Heating oil is subject to the sales tax.  Gasoline is exempt from the sales tax, but subject to the gasoline excise tax.</t>
  </si>
  <si>
    <t>*  Use in manufacturing, processing, compounding or production process ("boiler fuel") exempt.</t>
  </si>
  <si>
    <t xml:space="preserve">*  Utility service exempt from general excise tax are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</si>
  <si>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 xml:space="preserve">* 6% sales and use tax and up to 3% UGRLT (excludes heating oil for UGRLT).  Energy and energy-producing fuels used in the course of manufacturing, processing, mining or refining are exempt to the extent that the energy cost exceeds 3% of the cost of production for both sales and UGRLT. </t>
  </si>
  <si>
    <t>*  Energy sources used for the generation of electric power for resale or used in manufacturing, natural gas and all fuels used as boiler fuel is exempt (except refinery gas).</t>
  </si>
  <si>
    <r>
      <t xml:space="preserve">*  Agricultural and manufacturing industrial use </t>
    </r>
    <r>
      <rPr>
        <sz val="14"/>
        <color rgb="FFFF0000"/>
        <rFont val="Arial"/>
        <family val="2"/>
        <scheme val="minor"/>
      </rPr>
      <t>is exempt from sales tax.  Sales of other fuel to churches are exempt.</t>
    </r>
  </si>
  <si>
    <t>* Exempt when more than 50% is purchased for direct use in processing, mnfg. , refining, irrigation or farming</t>
  </si>
  <si>
    <t xml:space="preserve">* Receipts from the sale of fuel to a common carrier to be loaded or used in a locomotive engine or for fuel loaded or used by a common carrier in a locomotive engine. </t>
  </si>
  <si>
    <t>* G.S. 105-164.13 provides exemptions for:  fuel sold to a person who is engaged in the commercial logging business and used to operate logging machinery;   fuel sold to a "small power production facility" to generate electricity; fuel oil sold to the following (i) the holder of a standard commercial fishing license issued under G.S. 113-168.2 for principal use in commercial fishing operations (ii) the holder of a shellfish license issued under G.s. 113-169.2 for principal use in commercial shellfishing operations, or (iii) the operator of a for-hire boat, as defined in G.S. 113-174, for principal use in the commercial use of the boat; fuel sold to commercial laundries or to pressing and dry cleaning establishments and used in the direct performance of the laundering or the pressing and cleaning service; motor fuel, as taxed in Article 36C of Chapter 105, except motor fuel for which a refund of the per gallon excise tax is allowed under G.S. 105-449.105A or G.S. 105-449.107; alternate fuel taxed under Article 36D of Chapter 105, unless a refund of the tax is allowed under G.S. 105-449.107; sales of diesel fuel to railroad companies for use in rolling tock other than motor vehicles; sales of fuel for use or consumption by or  on ocean-going vessels which ply the high seas in interstate or foreign commerce in the transport of freight and/or passengers for hire exclusively, when delivered to an officer or agent of such vessel for the use of such vessel; fuel sold to a manufacturer for use in connection with the operation of a manufacturing facility except fuel solely for comfort heating at a manufacturing facility where there is no use of fuel or piped natural gas in a manufacturing process; fuel sold to certain melts recyclers for use in recycling at its facility at which the primary activity is recycling;  and fuel purchased by a qualifying or conditional farmer and measured by a separate meter or another separate device and used for a purpose other than preparing food, heating dwellings, and other household purposes</t>
  </si>
  <si>
    <t xml:space="preserve">  Direct use or consumption in manufacturing, farming, processing or rendering public utility service exempt.</t>
  </si>
  <si>
    <t xml:space="preserve">* Fuels used directly in manufacturing and agricultural activities are exempt.  </t>
  </si>
  <si>
    <t>*  Industrial production exempt.</t>
  </si>
  <si>
    <t>*  Gasoline sales tax.</t>
  </si>
  <si>
    <t xml:space="preserve">*  Exemption for fuel resulting from harvesting of timber or production of wood products; farming use exemption.  Fuel and electricity consumed in manufacturing tangible personal property in Wisconsin exempt. </t>
  </si>
  <si>
    <t xml:space="preserve">      Sewer and refuse, industrial</t>
  </si>
  <si>
    <t>* Excluding sewer</t>
  </si>
  <si>
    <t>* The integrated waste management fee applies to the disposal of solid waste at a disposal site.  Current rate: $1.40/ton.</t>
  </si>
  <si>
    <t>* Sewer assessments are not taxable</t>
  </si>
  <si>
    <t>* Sewer is exempt.</t>
  </si>
  <si>
    <t>*  Sewer services are taxable; refuse collection is exempt.</t>
  </si>
  <si>
    <t>* Mixed municipal solid waste collection and disposal services are subject to the separate Solid Waste Management Tax at various rates.  Residential solid waste management services 9.75%; commercial solid waste management services 17%; construction and demolition waste and other non-mixed solid waste services $.60 per noncompacted cubic yard. No city sales taxes apply. Sewer service is not taxable in MN.</t>
  </si>
  <si>
    <t>Refuse is exempt.</t>
  </si>
  <si>
    <t>* Sewer is taxable; refuse is not taxed.</t>
  </si>
  <si>
    <t>* Taxable if for pickup service unless performed on a regular contractual basis for a term not less than 30 days.</t>
  </si>
  <si>
    <t>*  Garbage collection and sewer services provided by government agency are exempt from gross receipts tax, but subject to government gross receipts tax.</t>
  </si>
  <si>
    <t>*  Sewer is exempt.</t>
  </si>
  <si>
    <t>* Sewer services are exempt. The collection of certain regulated wastes, including industrial solid waste, industrial discharge, and hazardous waste, is also exempt.</t>
  </si>
  <si>
    <t>* Public utility tax for sewerage collection. Refuse collection tax of 3.6% plus 1.5% B&amp;O for transfer, storage, treatment, and or disposal.</t>
  </si>
  <si>
    <t>*  Exempt if regulated by the Public Service Commission.</t>
  </si>
  <si>
    <t>*  Charges made for garbage hauling, latrine or sanitary servcies are not subject to tax. The person providing the container, latrine or container for use in the service is responsible to pay tax on the purchase of the container. See WY Dept of Rev Rules, Chap 2, Sec 13(n) reagarding garbage and chemical toilets or sanitary services.</t>
  </si>
  <si>
    <t xml:space="preserve">                    - Residential Use</t>
  </si>
  <si>
    <t>* When purchased by user.</t>
  </si>
  <si>
    <t>*  Taxable under the telecommunications classification. May be taxable under the transient lodging classification if bundled with the price of a hotel room.</t>
  </si>
  <si>
    <t>* Same as for industrial use.</t>
  </si>
  <si>
    <t>*  Utility service exempt from general excise tax and subject to separate public service company tax for utility-related income.  Utilities subject to general excise tax for non utility-related income.  State rate of 4% with rate in excess of 4% payable to applicable county where an exemption from county real property tax is allowed.</t>
  </si>
  <si>
    <t>* An exemption for residential telecommunications services billed on a recurring basis or message unit charges is allowed, up to $30 a month.</t>
  </si>
  <si>
    <t>*  Plus local option taxes.</t>
  </si>
  <si>
    <t>*  Subscriber line charges and basic local service are exempt.</t>
  </si>
  <si>
    <t>*See Remarks for line item #29 above.</t>
  </si>
  <si>
    <t>*  2.5% local option tax</t>
  </si>
  <si>
    <t>*  Local residential telephone service is exempt.  Plus 0.471% B&amp;O tax paid by the firm.</t>
  </si>
  <si>
    <t xml:space="preserve">*  If bundled with taxable intrastate telecom service, provider can use reasonable allocation percentages to avoid having entire gross receipts taxed. </t>
  </si>
  <si>
    <t>*  Exempt from the sales tax.  Interstate telephone service is subject to the Toll Communication gross receipts tax (10%).</t>
  </si>
  <si>
    <t>*Same treatment as entry for line 5171, item #30.</t>
  </si>
  <si>
    <t>*  See MCL 205.93a(1)(c).</t>
  </si>
  <si>
    <t xml:space="preserve">* 1.5% local option tax. Sourced to jurisdiction where call originates or terminates and in which the service address is also located. If sold on a basis other than call by call,  sourced to the customer's place of primary use. Sourcing of telecommunications sales is consistent with Mobile Telecommunications Act and Streamlined Sales and Use Tax Agreement. </t>
  </si>
  <si>
    <t>* Only service originating and billed to a telephone number or billing or service address in the state is taxable.</t>
  </si>
  <si>
    <t>*  If bundled with taxable intrastate telecom service, provider can use reasonable allocation percentages to avoid having entire gross receipts taxed.</t>
  </si>
  <si>
    <t>*  Cellular phone services are considered to be "non-residential".</t>
  </si>
  <si>
    <t>* Subject to toll telecommunication gross receipts tax (10%).</t>
  </si>
  <si>
    <t>*  Utility service exempt from general excise tax and subject to separate public service company tax for utility-related income.  Utility subject to general excise tax on non utility-related income.  State rate of 4% with rate in excess of 4% payable to applicable county where an exemption from county real property tax is allowed.</t>
  </si>
  <si>
    <t>*  If phone is sold or leased, sales tax is due.  If leasing charge is separately stated from access charge, then access use charge is exempt.</t>
  </si>
  <si>
    <t>*Same treatment as entry for line 5171, item #29.</t>
  </si>
  <si>
    <t>*  Taxed under both Gross Receipts and Telecommunications Taxes, depending on inter and intra state phone calls.</t>
  </si>
  <si>
    <t>* See Remarks for line item #29 above.</t>
  </si>
  <si>
    <t xml:space="preserve">*  Exempt from sales tax.  Subject to 4% utility tax. </t>
  </si>
  <si>
    <t>*  First 500 KWH per month for residential customers with income not more than $12,000 per year exempt.</t>
  </si>
  <si>
    <t xml:space="preserve">*  Use in manufacturing, processing, mining, refining, irrigation, construction, telegraph, telephone, and radio communication, street and railroad transportation services and all industrial uses exempt.  </t>
  </si>
  <si>
    <t>*  Residential service is exempt from the sales tax.  Rather than an actual tax on gross receipts, electric companies providing distribution services to D.C. ratepayers are subject to tax on the kilowatt hours of electricity delivered to end-users in the District</t>
  </si>
  <si>
    <t>*  TPP used in performing these services may be taxable to service provider.</t>
  </si>
  <si>
    <t>*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t>
  </si>
  <si>
    <t>*  Local sales tax applies.  Exempt from state tax.</t>
  </si>
  <si>
    <t>* Up to 3% of UGRLT on utility provider receipts w/ no residential exemption.</t>
  </si>
  <si>
    <t xml:space="preserve">*  Electricity purchased for residential purposes taxed at 2% from January 1, 2003, through June 30, 2004; exempt thereafter. </t>
  </si>
  <si>
    <t xml:space="preserve">*  First 750 KWH per month of residential service is exempt.  </t>
  </si>
  <si>
    <t>*  See RAB 1994-8 Residential Utilities.</t>
  </si>
  <si>
    <t>* Natural gas or electricity, sold for residential use as primary heat source, is exempt for billing months of November through April.</t>
  </si>
  <si>
    <t>*Electricity, water, natural, artificial or propane gas, wood, coal or home heating oil for domestic use may be subject to certain local taxes if the city or county imposes those taxes on domestic utilities.</t>
  </si>
  <si>
    <t xml:space="preserve">*  Subject to some local taxes.  </t>
  </si>
  <si>
    <t>*  Exempt from state tax.  Local taxes apply.</t>
  </si>
  <si>
    <t>* Public Utilities Gross Earnings Tax of 4% applies to all residential consumption.</t>
  </si>
  <si>
    <t>* Electricity and other fuels used for residential purposes exempt. (By statute, individual sales of kerosine of 20 gallons or less considered for residential heating purposes and exempt.).</t>
  </si>
  <si>
    <t>* Local governments may impose tax.</t>
  </si>
  <si>
    <t>*  Domestic use exempt.</t>
  </si>
  <si>
    <t>*  Residential use (must be primary residence) exempt from November through April.</t>
  </si>
  <si>
    <t>*  W.S. 39-15-103(a)(i)(D) imposes sales tax on the sales price paid to public utilities and to persons furnishing gas, electricity or heat for domestic, industrial or commercial consumption.</t>
  </si>
  <si>
    <t xml:space="preserve">*  Water sold in containers subject to 2.9% tax.   Exempt if delivered through underground pipes. </t>
  </si>
  <si>
    <t xml:space="preserve">* Exempt when delivered through public water mains or bottled water for home consumption. </t>
  </si>
  <si>
    <t>*  Honolulu city and county owned, receipts are exempt, others taxable, subject to public services company tax.  State rate of 4% with rate in excess of 4% payable to applicable county where an exemption from county real property tax is allowed.</t>
  </si>
  <si>
    <t>* Same as last entry.</t>
  </si>
  <si>
    <t xml:space="preserve">*  Water purchased for residential purposes taxed at 2% from January 1, 2003, through June 30, 2004; exempt thereafter (excludes bottled water). </t>
  </si>
  <si>
    <t>*  Exemption for water delivered through pipes or mains.</t>
  </si>
  <si>
    <t xml:space="preserve">*Exempt if delivered through main lines or pipes.  </t>
  </si>
  <si>
    <t>*  Residential use only.</t>
  </si>
  <si>
    <t>* Water sold by public utilities and certain nonprofits exempt.</t>
  </si>
  <si>
    <t>*  Bulk domestic use exempt.</t>
  </si>
  <si>
    <t xml:space="preserve">*Utility water is sourced for local tax purposes to the customer's location. </t>
  </si>
  <si>
    <t xml:space="preserve">*  Public utility tax. </t>
  </si>
  <si>
    <t>*  Residential service is exempt from the sales tax.  There is a rate of 10% on gross receipts from sales of natural or artificial gas delivered by any method to a residential end-user located in the District</t>
  </si>
  <si>
    <t>*  Natural gas purchased for residential purposes taxed at 2% from January 1, 2003, through June 30, 2004; exempt thereafter.</t>
  </si>
  <si>
    <t xml:space="preserve">*  Consumer counsel and public service commission tax rate determined each year and apply to gross income of regulated public utilities.  Cons. counsel rate 0.10%; public serv. comm. rate 0.39%. </t>
  </si>
  <si>
    <t>*  Local taxes apply.</t>
  </si>
  <si>
    <t>* Public Utilities Gross Earnings Tax of 3% applies to all residential consumption.</t>
  </si>
  <si>
    <t>* See Remarks for item #40 above.</t>
  </si>
  <si>
    <t>*  If delivered through mains or pipes.</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</si>
  <si>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tax.</t>
  </si>
  <si>
    <t>*  Generally taxable, except for liquid petroleum gas (LPG) when used for household use in a primary residence.</t>
  </si>
  <si>
    <t>*  Heating oil is subject to the sales tax.  Gasoline products are subject to gasoline excise tax.</t>
  </si>
  <si>
    <t xml:space="preserve">*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 </t>
  </si>
  <si>
    <t>* Up to 3% of UGRLT on utility provider receipts (excluding heating oil) w/ no residential exemption.</t>
  </si>
  <si>
    <t>*  Exemption applies to any fuel or gas, including butane and propane, used for residential purposes.</t>
  </si>
  <si>
    <t xml:space="preserve">* Fuel oil, coal, wood, steam, hot water, propane and LPG sold to residential customers for residential heating are exempt.  </t>
  </si>
  <si>
    <t>*  Artificial gas exempt.  Exempt from state tax; local taxes apply.</t>
  </si>
  <si>
    <t>* Fuel used for agricutlural or railroad purposes is exempt. Agricultural purposes does not include use in a farm residence.</t>
  </si>
  <si>
    <t>* Exempt if defined as motor fuel.</t>
  </si>
  <si>
    <t xml:space="preserve">*  May be subject to 1% local tax. </t>
  </si>
  <si>
    <t>*  Coal, fuel oil, propane, steam, peat, fuel cubes produced from solid waste and wood used for fuel sold for residential use exempt.</t>
  </si>
  <si>
    <t>*   W.S. 39-15-103(a)(i)(D) imposes sales tax on the sales price paid to public utilities and to persons furnishing gas, electricity or heat for domestic, industrial or commercial consumption.</t>
  </si>
  <si>
    <t xml:space="preserve">      Sewer and refuse, residential</t>
  </si>
  <si>
    <t>* Private contracts for refuse and trash removal are taxable at 5.75%.</t>
  </si>
  <si>
    <t>See #36</t>
  </si>
  <si>
    <t>*  Refuse is exempt.</t>
  </si>
  <si>
    <t>* General waste collection is taxable; sewer services are exempt.</t>
  </si>
  <si>
    <t>*  Charges made for garbage hauling, latrine or sanitary servcies are not subject to tax. The person providing the container, latrine or container for use in the service is responsibble to pay tax on the purchase of the container. See WY Dept of Rev Rules, Chap 2, Sec 13(n) reagarding garbage and chemical toilets or sanitary services.</t>
  </si>
  <si>
    <t>Finance, Insurance and Real Estate</t>
  </si>
  <si>
    <t xml:space="preserve">   Service charges of banking institutions</t>
  </si>
  <si>
    <t>*  Banks and financial institutions are subject to the Banks and other Financial Corporation Law and are taxed on net income.  Banks are subject the general excise tax on non core-related activities.</t>
  </si>
  <si>
    <t>*  Tax is imposed only on service charge relating to depositors' checking accounts.</t>
  </si>
  <si>
    <t>*  Exempt from sales tax.  Financial institutions subject to bank franchise tax in lieu of sales tax.</t>
  </si>
  <si>
    <t>*  Considered a professional service with some exceptions.</t>
  </si>
  <si>
    <t>*  Wyoming does not impose tax on the finance, insurance or real estate services listed. See WY Dept of Rev Rules, Chap 2, Sec 13(k) regarding financial institutions.</t>
  </si>
  <si>
    <t xml:space="preserve">   Insurance services</t>
  </si>
  <si>
    <t xml:space="preserve">*  Insurance premiums subject to separate tax, generally 2.35% of gross premiums.  Ocean marine insurers are taxed at 5% of underwriting income. </t>
  </si>
  <si>
    <t>*  Taxable when not performed by insurance company subject to premiums tax.</t>
  </si>
  <si>
    <t>*  Tax on net premiums, excludes enmity income.  An additional 2.5% tax on fire insurance carrier services net premiums.</t>
  </si>
  <si>
    <t>*Taxable if sold by a company not in the business of selling insurance.</t>
  </si>
  <si>
    <t>*  If receipts are from premiums.</t>
  </si>
  <si>
    <t>*  Insurance premiums are exempt.</t>
  </si>
  <si>
    <t>* Insurance premiums are exempt from sales and use tax.</t>
  </si>
  <si>
    <t>*  B&amp;O tax paid by insurance agents on commissions received; premiums subject to separate 2.0% tax.</t>
  </si>
  <si>
    <t>*  Subject to alternative insurance premium tax of 3 to 4%.  Electronic data processing services are exempt.</t>
  </si>
  <si>
    <t>52392/3</t>
  </si>
  <si>
    <t xml:space="preserve">   Investment counseling</t>
  </si>
  <si>
    <t xml:space="preserve">*  Tax rate applies to gross receipts in excess of $100,000 per month.  For Brokers, tax applies to commissions only. </t>
  </si>
  <si>
    <t xml:space="preserve">*Receipts for performing management or investment advisory services provided to a mutual fund, hedge fund or real estate investment trust are deductible. </t>
  </si>
  <si>
    <t>*  Exempt if a professional service.</t>
  </si>
  <si>
    <t xml:space="preserve">   Loan broker fees</t>
  </si>
  <si>
    <t>*  Annual license fee of $450.</t>
  </si>
  <si>
    <t>*  Loans initiated by financial institutions are exempt.  Taxable under financial institutions franchise tax act.</t>
  </si>
  <si>
    <t xml:space="preserve"> E</t>
  </si>
  <si>
    <t xml:space="preserve">   Property sales agents (real estate or personal)</t>
  </si>
  <si>
    <t>*  Tax rate applies to gross receipts in excess of $100,000 per month.  Tax applies to commissions and fees only.</t>
  </si>
  <si>
    <t>* Seller of tangible personal property responsible for the tax.</t>
  </si>
  <si>
    <t>"Unless retailer of rentals of accommations.</t>
  </si>
  <si>
    <t>*  Considered a professional service.</t>
  </si>
  <si>
    <t xml:space="preserve">   Real estate management fees (rental agents)</t>
  </si>
  <si>
    <t>*  Management services are taxable at 6.35%.</t>
  </si>
  <si>
    <t>*  Exempt if management fee is charged by a licensed real estate broker (professional service), otherwise it is taxable.</t>
  </si>
  <si>
    <t xml:space="preserve">   Real estate title abstract services</t>
  </si>
  <si>
    <t>* Nonprofessional service purchased from from an independent contractor by an attorney; title abstractor cannot assert the service rendered for resale tax; title abstractor's preparation of title report for sale to employing attorney is not the attorney's subcontractor for purposes of resale.</t>
  </si>
  <si>
    <t xml:space="preserve">   Tickertape reporting (financial reporting)</t>
  </si>
  <si>
    <t>*  Potentially taxable under the retail classification if a sale of software is involved.</t>
  </si>
  <si>
    <t>* On-line access to information is taxable at 1%</t>
  </si>
  <si>
    <t>*  Financial reporting is taxable under provisions applicable to information services.</t>
  </si>
  <si>
    <t>*Taxable as an information service.</t>
  </si>
  <si>
    <t>* Taxable if it is a charge to access or use an online database. Charges to access or use an online database/information service are taxable. For examples of taxable and non-taxable communication services, see SC Revenue Ruling #06-8.</t>
  </si>
  <si>
    <t>* There is a 20% exemption for information services, which include financial reporting.</t>
  </si>
  <si>
    <t>*  B&amp;O tax paid by the firm.  Assumes not a digital product.</t>
  </si>
  <si>
    <t xml:space="preserve"> Personal Services</t>
  </si>
  <si>
    <t>812111/2</t>
  </si>
  <si>
    <t xml:space="preserve">        Barber shops and beauty parlors</t>
  </si>
  <si>
    <t>*  Tax on sale of tangible personal property if separately stated; otherwise, total service taxable.</t>
  </si>
  <si>
    <t>*  Sales of tangible personal property at salons and parlors are taxable under the retail classification.</t>
  </si>
  <si>
    <t>* Services provided by a barber or beauty shop are not taxable.  However, such establishments are retailers of property sold to customers when not part of the services rendered, e.g., bottles of hair conditioner, combs, etc.</t>
  </si>
  <si>
    <t>*  Some services may be taxable if listed under SIC 7299- misc. personal services not elsewhere classified - 1987 SIC Manual or in U.S. industries 532220, 812191, 812199, and 812990 in the NAICS manual.</t>
  </si>
  <si>
    <t>* See Reg. 1-047.</t>
  </si>
  <si>
    <t>*  Subject to New York City local tax.</t>
  </si>
  <si>
    <t>*  Hair cutting exempt.  Services such as nail care, skin care, cosmetic applications, etc are taxable. See personal service information release.  http://www.tax.ohio.gov/sales_and_use/information_releases/st2003draft.aspx</t>
  </si>
  <si>
    <t>*See SC Regulation 117-308.13</t>
  </si>
  <si>
    <t>* Must collect tax on any sales of tangible personal property.</t>
  </si>
  <si>
    <t xml:space="preserve">        Carpet and upholstery cleaning</t>
  </si>
  <si>
    <t>*  Some activities rising above mere cleaning (e.g., repairs and replacement) performed on carpet affixed to real property are potentially taxable under the prime contracting classification.</t>
  </si>
  <si>
    <t>* The sale of or charge for the service of carpet and upholstery cleaning, including the cleaning or dyeing of used rugs, carpets, or upholstery, or for rug repair is subject to sales tax</t>
  </si>
  <si>
    <t>*  Commercial carpet cleaning taxed at 6%.</t>
  </si>
  <si>
    <r>
      <t xml:space="preserve">* </t>
    </r>
    <r>
      <rPr>
        <sz val="14"/>
        <color rgb="FFFF0000"/>
        <rFont val="Arial"/>
        <family val="2"/>
        <scheme val="minor"/>
      </rPr>
      <t>Carpet cleaning is taxable; upholstery cleaning is exempt</t>
    </r>
  </si>
  <si>
    <t>*Carpet cleaning is exempt; upholstery cleaning is cleaning of tangible personal property and is taxable.</t>
  </si>
  <si>
    <t>*  Fabric protector on personal property is taxable.</t>
  </si>
  <si>
    <t>*See SC Regulation 117-303.2</t>
  </si>
  <si>
    <t>* Cleaning of furniture is taxable; cleaning of installed carpet is exempt.</t>
  </si>
  <si>
    <t>*  Wall to wall carpet exempt, upholstery cleaning taxable.</t>
  </si>
  <si>
    <t>*  W.S. 39-15-103(a)(i)(J) imposes tax on services that repair, alter or improve  tangible personal property but does not impose sales tax on services that repair, alter, improve or construct real property.</t>
  </si>
  <si>
    <t xml:space="preserve">        Dating services</t>
  </si>
  <si>
    <t>* Online dating services may be taxable as information services.</t>
  </si>
  <si>
    <t xml:space="preserve">        Debt counseling</t>
  </si>
  <si>
    <t>*  Exempt if performed by nonprofit organization [501(c)(3)].</t>
  </si>
  <si>
    <t xml:space="preserve">        Diaper service</t>
  </si>
  <si>
    <t>* Product would be taxable at the 2% general sales tax rate, but service is exempt.</t>
  </si>
  <si>
    <t>*  Taxable under the personal property rental classification.</t>
  </si>
  <si>
    <t>* Generally, a temporary use of tangible personal property for consideration is considered to be a taxable lease.  However, if an essential part of lease agreement is laundering or cleaning of the diapers, the charges for the lease are not taxable.  Instead, the lessor is considered a consumer of the diapers and tax applies to purchased price of the rental inventory.</t>
  </si>
  <si>
    <t>*  Tangible personal property only.  If tangible personal property is not separately stated, then 100% of gross income is taxable.</t>
  </si>
  <si>
    <t>*  Taxable only if a transfer of property.</t>
  </si>
  <si>
    <t xml:space="preserve">*  Provided lessor pays the tax at the time diapers are purchased. </t>
  </si>
  <si>
    <t>*Provided such is cleaning or rental of diapers</t>
  </si>
  <si>
    <t>plus any applicable local tax</t>
  </si>
  <si>
    <t>* Taxable as rental of tangible personal property.</t>
  </si>
  <si>
    <t>*  Taxable if there is a provision of tangible personal property.</t>
  </si>
  <si>
    <t>*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</si>
  <si>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xml:space="preserve">        Income from funeral services</t>
  </si>
  <si>
    <t>*  Income from services not taxable if separately stated from the sale of tangible personal property.</t>
  </si>
  <si>
    <t xml:space="preserve">*  Tax applies to the gross receipts from the sale of caskets, boxes, vaults, and clothing and  to specific charges for tangible property.  Separately stated charges for funereal services are not subject to tax. </t>
  </si>
  <si>
    <t>*  Services are exempt when separately stated.  Materials in excess of $2,500 are taxable. Caskets used for burial or cremation exempt.</t>
  </si>
  <si>
    <t>* Receipts from sales of tangible personal property by morticians, such as caskets, appurtenances, grave vaults, and clothing, shall be subject to the tax, even though personal services are rendered in connection with the sale of these items.</t>
  </si>
  <si>
    <t>* Tax due on tangible personal property sold; personal services must be separately stated.</t>
  </si>
  <si>
    <t>*  Maintaining cemeteries exempt.</t>
  </si>
  <si>
    <t>*  The sale of taxable services and tangible personal property should be separately itemized.</t>
  </si>
  <si>
    <t>*  Sales tax only on the sale/rental of tangible personal property.  Funeral services exempt.</t>
  </si>
  <si>
    <t>*  Funeral homes may collect the tax on itemized charges for taxable goods and services or on 50% of a lump sum funeral bill.</t>
  </si>
  <si>
    <t>* Separate sales of tangible personal property, such as casket, shroud, vault, tombstone, etc., are taxable.</t>
  </si>
  <si>
    <t>*  See Reg. 1-053.</t>
  </si>
  <si>
    <t>* Charges for funeral services are exempt.</t>
  </si>
  <si>
    <t xml:space="preserve">* State taxation is pre-empted on prearranged funeral plans, Section 59A-6-6. </t>
  </si>
  <si>
    <t>*Any part that is for the sale of tangible personal property (casket, clothes, etc.) are taxable at the 4.75% rate of tax.</t>
  </si>
  <si>
    <t>* Sales of tangible personal property are taxable.</t>
  </si>
  <si>
    <t>*  Tangible personal property included in the total charge must be separately itemized and subjected to the applicable sales tax.  Transportation of family members is not taxable.</t>
  </si>
  <si>
    <t>* Charges for tangible personal property are taxable (caskets, etc.). Charges for services are not taxable. See SC Regulation 117-309.8.</t>
  </si>
  <si>
    <t>*Sales of tangible personal property such as flowers, programs, and clothing is taxable.</t>
  </si>
  <si>
    <t>*  Sales of tangible person property.</t>
  </si>
  <si>
    <t>*  Funeral charges and furnishings (necessary incidents of the funeral) are exempt.  Sales of flowers by funeral home taxable.</t>
  </si>
  <si>
    <t>*  Tangible personal property only taxable.</t>
  </si>
  <si>
    <t>*  That portion of the income derived from professional services are exempt as well as services involving the opening and closing of graves.</t>
  </si>
  <si>
    <t>*  Separate and optional sales of taxable products and services are taxable.</t>
  </si>
  <si>
    <t>* W.S. 39-15-103(a)(i)(A) imposes sales tax on all sales of tangible personal property. If the provider does not separately state the taxable goods from the entire invoice, the full amount is subject to tax. See WY Dept of Rev Rules, Chap 2, Sec 13(l) regarding funeral directors. See also WY Dept of Rev Rules, Chap 2, Sec 13(w) regading memorial dealers.</t>
  </si>
  <si>
    <t xml:space="preserve">        Fishing and hunting guide services</t>
  </si>
  <si>
    <t>* Commercial recreation is taxable.</t>
  </si>
  <si>
    <t>* Guided and non-guided hunts exempt</t>
  </si>
  <si>
    <t>* If lodging is provided, sales and lodging tax may apply, See Reg. 1-046</t>
  </si>
  <si>
    <t>*  Taxable if boat, tackle etc. is provided.</t>
  </si>
  <si>
    <t>* Wyoming does not impose tax on the sales price paid for the skill and direction of a guide. However many other services provided by guides are subject to tax. See Lodging Publication.</t>
  </si>
  <si>
    <t xml:space="preserve">        Garment services (altering &amp; repairing)</t>
  </si>
  <si>
    <t>*  Tax applies as the sale of new tangible personal property when materials are incorporated to the alteration that were not originally provided with the garment by the customer.</t>
  </si>
  <si>
    <t>*  Potentially taxable if the services constitute manufacturing/fabricating tangible personal property sold at retail.</t>
  </si>
  <si>
    <t>*  Alterations to new clothing are generally taxable.  However, if the alterations are performed by a cleaning or dyeing business, the charges are not taxable unless gross receipts from the alteration service are over a specified percentage of total gross receipts. Alterations or repairs on used clothing not taxable.</t>
  </si>
  <si>
    <t>*  Garment repair taxable; alterations exempt.</t>
  </si>
  <si>
    <t>* Taxable when part of garment sale</t>
  </si>
  <si>
    <t>*Alterations made by the seller at the time of the sale are taxable</t>
  </si>
  <si>
    <t>*  Alterations to new clothing taxable as fabrication.</t>
  </si>
  <si>
    <t>* Not taxable if included in the purchase price of the garment.</t>
  </si>
  <si>
    <t>*Provided such charge is separately stated on the invoice or other document given to the purchaser at the time of the sale, except where the service constitutes a part of the gross receipts derived from the taxable rental of clothing or for alteration and repair of belts and shoes.</t>
  </si>
  <si>
    <t>* Except for formal wear.</t>
  </si>
  <si>
    <t>* Taxable if associated with the sale of tangible property.</t>
  </si>
  <si>
    <t xml:space="preserve">*  Separately stated charges for alterations to garments are exempt.  Fabrication of tangible personal property for consumers who provide the materials or for products sold at retail are taxable. </t>
  </si>
  <si>
    <t>*  Pressing and dyeing (except self-service machines) also taxable.</t>
  </si>
  <si>
    <t>*   W.S. 39-15-103(a)(i)(J) imposes tax on services that repair, alter or improve tangible personal property.</t>
  </si>
  <si>
    <t xml:space="preserve"> Personal Services (continued)</t>
  </si>
  <si>
    <t xml:space="preserve">        Gift and package wrapping service</t>
  </si>
  <si>
    <t>*  Income from service not taxable if separately stated from the sale of tangible personal property.</t>
  </si>
  <si>
    <t xml:space="preserve">*  Charges for gift wrapping are generally taxable.  </t>
  </si>
  <si>
    <t>*  If separately stated, gift wrapping charges are taxable.</t>
  </si>
  <si>
    <t>*  If materials are supplied.  TPP used in performing these services is taxable to service provider.</t>
  </si>
  <si>
    <t>*  Taxable if performed as part of a sale of tangible personal property.</t>
  </si>
  <si>
    <t>* Taxable if sold in connection with the sale of the item to be gift wrapped.</t>
  </si>
  <si>
    <t>*  Sale of wrap paper.</t>
  </si>
  <si>
    <t>*  Exempt if performed by nonprofit organization.</t>
  </si>
  <si>
    <t>*  W.S. 39-15-103(a)(i)(J) imposes tax on services that repair, alter or improve tangible personal property.</t>
  </si>
  <si>
    <t>812199/713940</t>
  </si>
  <si>
    <t xml:space="preserve">        Health clubs, tanning parlors, reducing salons</t>
  </si>
  <si>
    <t>*  No tax on reducing salons.</t>
  </si>
  <si>
    <t>*  At the state level, membership fees are generally exempt, but fees for the use of facilities (e.g., per-visit or less than 28 days) are taxable under the amusement classification.  Cities choosing Local Option H (tax on health spa membership fees or sports/athletic/health-related instruction as part of the amusements tax) tax all membership fees, regardless of the period of time granted for the fees. Gross receipts of hotel-operated clubs and salons that are not open to the general public are taxable under the transient lodging classification.</t>
  </si>
  <si>
    <t>*  These services as stated under the DC regulations are subject to the normal sales and use tax rate of 5.75% effective October 1, 2014.</t>
  </si>
  <si>
    <t>*  Membership dues and fees to health clubs (i.e., gym membershps are taxable as Admissions - See Rule 12A-1.005, F.A.C..  TPP used in performing these services is taxable to service provider.</t>
  </si>
  <si>
    <t>*  Tax due on sales of tangible personal property.</t>
  </si>
  <si>
    <t>*  Turkish baths, massage, reducing and tanning salons taxable.</t>
  </si>
  <si>
    <t>*  Health club dues are subject to sales tax.</t>
  </si>
  <si>
    <t>*  Health Clubs -All fees and dues paid in or to a place of amusement or entertainment are taxable.  Tanning parlors, reducing salons are exempt.</t>
  </si>
  <si>
    <t>*Taxable if charge is in the nature of initiation fees, membership fees, or dues for access to or use of the facilities of a health and fitness, athletic, or sporting club  or organization in NJ. Tanning services are always taxable.</t>
  </si>
  <si>
    <t xml:space="preserve">*  May be subject to New York City local tax. </t>
  </si>
  <si>
    <t>* Exempt if YMCA, YWCA, or municipally-owned recreation center.</t>
  </si>
  <si>
    <t>* Subject to Admissions tax of 5%.  Most health clubs exempt. See SC Revenue Ruling #05-14.</t>
  </si>
  <si>
    <t>* Generally, memberships to health clubs are taxable.  Charges for the use of tanning beds are taxable. A Nonprofit's sales of health club memberships is exempt.</t>
  </si>
  <si>
    <t>* Memberships in amusement or recreational clubs are taxable. Tanning salon fees are nontaxable.</t>
  </si>
  <si>
    <t>*  Admissions/dues for recreation/athletic activities taxable.</t>
  </si>
  <si>
    <t>*  Fees for use of health clubs and tanning parlors taxable as an amusement charge.</t>
  </si>
  <si>
    <r>
      <t xml:space="preserve">*  Services provided by health and fitness clubs (including YMCA &amp; YWCA), </t>
    </r>
    <r>
      <rPr>
        <b/>
        <u/>
        <sz val="14"/>
        <color theme="3"/>
        <rFont val="Arial"/>
        <family val="2"/>
        <scheme val="minor"/>
      </rPr>
      <t>relating to personalized fitness programs,</t>
    </r>
    <r>
      <rPr>
        <sz val="14"/>
        <rFont val="Arial"/>
        <family val="2"/>
        <scheme val="minor"/>
      </rPr>
      <t xml:space="preserve"> are exempt.</t>
    </r>
  </si>
  <si>
    <t>*  Taxable if primary purpose is for use of amusement, athletic, entertainment or recreational devices.</t>
  </si>
  <si>
    <t xml:space="preserve">        Laundry and dry cleaning services, coin-op</t>
  </si>
  <si>
    <t>*  Coin-operated laundries that are hotel-owned and operated for guests only are taxable under the transient lodging classification.  Although coin-operated laundries that are open to the general public are generally exempt, they are taxable in cities choosing M.C.T.C. Model Option 7 (no exemption for coin-operated machines from tax on rental of tangible personal property).</t>
  </si>
  <si>
    <t>* Self-pay washers and dryers are exempt.</t>
  </si>
  <si>
    <t>*  Coin operated laundries exempt.</t>
  </si>
  <si>
    <t>* See Reg. 1-048.</t>
  </si>
  <si>
    <t>* Coin operated laundry and dry cleaning exempt.</t>
  </si>
  <si>
    <t>*  Coin operated washing and drying establishments subject to annual licensing in lieu of sales tax on gross receipts.</t>
  </si>
  <si>
    <t>*  Wyoming does not impose tax on the income generated from customer coin-operated laundry machines. However the machines are taxable to the provider at the time of purchase. See WY Dept of Rev Rules, Chap 2, Sec 13(bb).</t>
  </si>
  <si>
    <t xml:space="preserve">        Laundry and dry cleaning services, non-coin op</t>
  </si>
  <si>
    <t>*  Hotel laundry services performed by the hotel exclusively for guests are taxable under the transient lodging classification.  Commissions from third-party laundry service providers performed at hotels are exempt at the state level but taxable as licenses for use at the city level.</t>
  </si>
  <si>
    <t>* See remarks for No. 60 - Garment Services</t>
  </si>
  <si>
    <t>*  Subject to the sales tax effective 7/1/92.</t>
  </si>
  <si>
    <t>*  Taxable only for business with recurring need for laundry service.</t>
  </si>
  <si>
    <t>* Exempt unless laundry and dry cleaning is performed on non-clothing.</t>
  </si>
  <si>
    <t>* Also, some drycleaning facilities are required to remit an additional 1% environmental surcharge.</t>
  </si>
  <si>
    <t>*  W.S. 39-15-103(a)(i)(J) imposes tax on services that repair, alter or improve tangible personal property. See WY Dept of Rev Rules, Chap 2, Sec 13(q) regarding laundry, dry cleaning, pressing and dying services.</t>
  </si>
  <si>
    <t xml:space="preserve">        Massage services</t>
  </si>
  <si>
    <t>*  Taxable by cities choosing Local Option H (tax on health spa membership fees or sports instruction as part of the amusements tax).</t>
  </si>
  <si>
    <t>*  Exempt only if licensed massage therapist provides service.</t>
  </si>
  <si>
    <t>* The entire bundled charge for both taxable health club services and nontaxable services will be presumed taxable if a primary purpose of the transaction is the sale of the taxable health club services.</t>
  </si>
  <si>
    <t>* Massages provided by or through licensed health care facilities or by licensed health care professionals, and massages provided upon written referral from a licensed health care facility or professional for ongoing treatment of illness, injury or disease are exempt from the 6.875% sales tax. However, these massages are subject to a 2% MNCare gross receipts tax.</t>
  </si>
  <si>
    <t xml:space="preserve">*Taxable unless provided pursuant to a doctor's prescription. </t>
  </si>
  <si>
    <t>* Exempt if provided on order of a licensed physician or licensed chiropractor.</t>
  </si>
  <si>
    <t>* Exempt if performed by a licensed therapist.</t>
  </si>
  <si>
    <r>
      <t>* Exempt when performed by registered massage therapists</t>
    </r>
    <r>
      <rPr>
        <b/>
        <sz val="14"/>
        <color rgb="FFFF0000"/>
        <rFont val="Arial"/>
        <family val="2"/>
        <scheme val="minor"/>
      </rPr>
      <t xml:space="preserve">. </t>
    </r>
  </si>
  <si>
    <t>*  Personal services.</t>
  </si>
  <si>
    <t xml:space="preserve">        900 Number services</t>
  </si>
  <si>
    <t>* Unless taxable under telephone tax laws. See No. 29.</t>
  </si>
  <si>
    <t>*  Taxable as telecommunications services.</t>
  </si>
  <si>
    <t>*  Telecommunication service may be taxable to provider.  TPP used in performing these services is taxable to service provider.</t>
  </si>
  <si>
    <t>*  In-state services only taxable.</t>
  </si>
  <si>
    <t>*  If call is intrastate.</t>
  </si>
  <si>
    <t>*6% sales tax, 3% telecom excise tax, 1.3% telecom gross revenues tax, up to 3% UGRLT (KRS 139.200, 136.604, 136.616, 136.602, 136.613).</t>
  </si>
  <si>
    <r>
      <t xml:space="preserve">*  If intrastate calls </t>
    </r>
    <r>
      <rPr>
        <sz val="14"/>
        <color rgb="FFFF0000"/>
        <rFont val="Arial"/>
        <family val="2"/>
        <scheme val="minor"/>
      </rPr>
      <t>(subject to Service Proivder Tax)</t>
    </r>
  </si>
  <si>
    <t xml:space="preserve">* See Regulation 830 CMR 64H.1.6(7)(b).  </t>
  </si>
  <si>
    <t>* On all intrastate phone calls and merchandise sales.</t>
  </si>
  <si>
    <t>*  5.125% if local or intra-state; 4.25% if inter-state.</t>
  </si>
  <si>
    <t>*  Aditional tax may apply.</t>
  </si>
  <si>
    <t>*  Computer services and telephone services are subject to sales tax.</t>
  </si>
  <si>
    <t>* 976 Number services are also taxable at 11%. See Section 12-36-2645 of the code.</t>
  </si>
  <si>
    <t xml:space="preserve">* The information services provided through a 900-number service  would generally be taxable, unless is information exempt as the sale of data processing services.  The underlying telecommunication transmission serice, however, would be exempt as a service subject to the control of the Public Service Commission. </t>
  </si>
  <si>
    <t xml:space="preserve">*  Taxable if sourced to WI. </t>
  </si>
  <si>
    <t>611610/20</t>
  </si>
  <si>
    <t xml:space="preserve">        Personal instruction (dance, golf, tennis, etc.)</t>
  </si>
  <si>
    <t>*  Taxable by cities choosing Local Option H (tax on health spa membership fees or sports/athletic/health-related instruction as part of the amusements tax).</t>
  </si>
  <si>
    <t xml:space="preserve">*  Instruction at health &amp; athletic club is taxable </t>
  </si>
  <si>
    <t>*  Generally exempt except dance schools, dance studios and flying lessons are taxable.</t>
  </si>
  <si>
    <t>*If the instructions are given within a place of amusement then they are taxable. If there is a separate charge for the instruction the charge is not subject to tax even if it takes place in a place of amusement.  If the instruction charge is not separate from the membership charge, the whole membership charge remains taxable.</t>
  </si>
  <si>
    <t>* Exempt if all money goes to instructor, otherwise taxable if charged by a club</t>
  </si>
  <si>
    <t>*  Flying lessons exempt -- considered professional service.</t>
  </si>
  <si>
    <t xml:space="preserve">        Shoe repair</t>
  </si>
  <si>
    <t>*  Merchandise and materials taxable, service is exempt</t>
  </si>
  <si>
    <t>*  Repair labor is not taxable, but shoe repairmen are retailers of the materials provided with repair work.  If a single charge is made for both labor and materials, 25% of total charge is taxable as retail sale of materials.</t>
  </si>
  <si>
    <t>*  Tangible personal property that is separately itemized on the bill is taxable.  See R 205.118.</t>
  </si>
  <si>
    <t>* See Reg 1-082, repair parts and labor are taxable</t>
  </si>
  <si>
    <t>*  Itemized material subject to 5% tax.</t>
  </si>
  <si>
    <t>*See SC Regulation 117-306.4</t>
  </si>
  <si>
    <t xml:space="preserve">*  W.S. 39-15-103(a)(i)(J) imposes tax on services that repair, alter or improve tangible personal property. </t>
  </si>
  <si>
    <t xml:space="preserve">        Swimming pool cleaning &amp; maintenance</t>
  </si>
  <si>
    <t xml:space="preserve">*  Exempt when cleaning a swimming pool that has been classified as real property. TPP used in performing these services is taxable to service provider. </t>
  </si>
  <si>
    <t>*  Maintenance, cleaning and repair of above ground pools taxable. The Labor to maintain and repair in ground pools and pools built into the realistate is exempt if original construction or residential. Cleaning exempt.</t>
  </si>
  <si>
    <t>* Building cleaning and maintenance services are taxable.</t>
  </si>
  <si>
    <t>* Repairs and maintenance of pool equipment are taxable.</t>
  </si>
  <si>
    <r>
      <t>* Indoor  swimming pool cleaning is taxable</t>
    </r>
    <r>
      <rPr>
        <sz val="14"/>
        <color rgb="FFFF0000"/>
        <rFont val="Arial"/>
        <family val="2"/>
        <scheme val="minor"/>
      </rPr>
      <t>, outdoor pool cleaning is exempt</t>
    </r>
    <r>
      <rPr>
        <sz val="14"/>
        <rFont val="Arial"/>
        <family val="2"/>
        <scheme val="minor"/>
      </rPr>
      <t>. See Reg 1-098</t>
    </r>
  </si>
  <si>
    <t>*  Indoor taxable, outdoor exempt (building maintenance and janitorial service).</t>
  </si>
  <si>
    <t>*  Cleaning of above ground and indoor pools is taxable.</t>
  </si>
  <si>
    <t xml:space="preserve">* Taxable if above ground pool; considered tangible personal property. </t>
  </si>
  <si>
    <t>*  If real property.</t>
  </si>
  <si>
    <t>*  E for in-ground pools.  Taxable for above-ground or portable pools. W.S. 39-15-103(a)(i)(J) imposes tax on services that repair, alter or improve  tangible personal property but does not impose sales tax on services that repair, alter, improve or construct real property. See WY Dept of Rev Rules, Chap 2, Sec 10(c).</t>
  </si>
  <si>
    <t xml:space="preserve">        Tax return preparation</t>
  </si>
  <si>
    <t>*  Exempt if a CPA prepares the return (professional service).</t>
  </si>
  <si>
    <t>*  See Professional Services Bulletin.</t>
  </si>
  <si>
    <t xml:space="preserve">        Tuxedo rental</t>
  </si>
  <si>
    <t>*  Subject to Rental tax.</t>
  </si>
  <si>
    <t>*  Includes 1% "short term" rental tax.  Short term rentals are for less than 30 days.</t>
  </si>
  <si>
    <t xml:space="preserve">*  Lessors have option to pay tax on the purchase price with subsequent lease payments not taxable if the tuxedos are leased in substantially the same form as acquired.  </t>
  </si>
  <si>
    <t>*  Tax break down as follows: Lessors rate of 0.299% on gross receipts in excess of $150,000 per quarter; Lessees rate of 1.99% with no monthly/ quarterly exemption.</t>
  </si>
  <si>
    <t>* local Chicago</t>
  </si>
  <si>
    <t>*  Taxable as rental of TPP, KY Regulation 103 KAR 28:051</t>
  </si>
  <si>
    <t>* Rental charges exceeding the $175 clothing exemption are taxable.</t>
  </si>
  <si>
    <t>*  Rentals of tangible property are taxable unless the lessor is registered and has exercised the option to pay 6% tax on cost at the time of acquisition.  See RAB 2015-25.</t>
  </si>
  <si>
    <t>* Clothing rental charges are generally taxable as a linen service.</t>
  </si>
  <si>
    <t>*  Provided tax is paid at time of purchase by lessor.</t>
  </si>
  <si>
    <t>*  Plus local taxes.  A lessor who purchases tangible personal property may pay tax to vendor on sales price or may provide vendor a resale certificate and pay tax on lease or rental receipts.</t>
  </si>
  <si>
    <t>*  Rental of tangible personal property.</t>
  </si>
  <si>
    <t xml:space="preserve">*  W.S. 39-15-103(a)(i)(B) imposes sales tax on the gross rental paid for the lease or contract transferring possession of tangible perosnal property if the transfer of possession would be taxable if a sale occurred. </t>
  </si>
  <si>
    <t xml:space="preserve">        Water softening and conditioning</t>
  </si>
  <si>
    <t>* If providing conditioning unit, then it is a leasee/lessor issue (see tuxedo rental note).</t>
  </si>
  <si>
    <t>* Separately stated sales of TPP (e.g., salt) are taxable</t>
  </si>
  <si>
    <t>*  Rental of water softening and conditioning equipment subject to sales tax.</t>
  </si>
  <si>
    <t>*  Sale of chemicals taxable.</t>
  </si>
  <si>
    <r>
      <t xml:space="preserve">* The purchase of water softening and conditioning equipment that is installed by the vendor would be considered an improvement to real property and not taxable. However, the </t>
    </r>
    <r>
      <rPr>
        <b/>
        <sz val="14"/>
        <rFont val="Arial"/>
        <family val="2"/>
        <scheme val="minor"/>
      </rPr>
      <t>lease</t>
    </r>
    <r>
      <rPr>
        <sz val="14"/>
        <rFont val="Arial"/>
        <family val="2"/>
        <scheme val="minor"/>
      </rPr>
      <t xml:space="preserve"> of water softening and conditioning equipment is not considered an improvement to real property and is taxable.</t>
    </r>
  </si>
  <si>
    <t>*Taxable if it is maintaining or servicing real property.</t>
  </si>
  <si>
    <t>*  Parts &amp; materials taxable only.</t>
  </si>
  <si>
    <t>*  Equipment rental or leasing is taxable.</t>
  </si>
  <si>
    <t>*  If equipment is rented, taxable</t>
  </si>
  <si>
    <t>*Rental of equipment is subject to tax.</t>
  </si>
  <si>
    <t>* Installation charges for water softening equipment installed in nonresidential property are taxable.</t>
  </si>
  <si>
    <t>*  Rental of equipment taxable.</t>
  </si>
  <si>
    <t>*  Sale of salt, etc. is taxable.  Rental of equipment also taxable.</t>
  </si>
  <si>
    <t>*  W.S. 39-15-103(a)(i)(A) imposes sales tax on all sales of tangible personal property. W.S. 39-15-103(a)(i)(J) imposes tax on all services that repair, alter or improve tangible personal property. See WY Dept of Rev Rules, Chap 2, Sec 13(dd) regarding repairs, alterations and improvements. See also WY Dept of Rev Rules, Chap 2, Sec 10(c).</t>
  </si>
  <si>
    <t xml:space="preserve"> Business Services</t>
  </si>
  <si>
    <t xml:space="preserve">   Sales of advertising time or space:</t>
  </si>
  <si>
    <t xml:space="preserve">       Billboards</t>
  </si>
  <si>
    <t>*  Exempt at the state level after December 31, 1985, but most cities levy privilege taxes on local advertising.</t>
  </si>
  <si>
    <t>* Sales tax only applies to direct mail advertising pieces.</t>
  </si>
  <si>
    <t>*  Payments for space are taxable as the rental of tangible personal property.  TPP used in performing these services is taxable to service provider.</t>
  </si>
  <si>
    <t>* See Reg. 1-056.04</t>
  </si>
  <si>
    <t>*  Building of billboards is subject to contractor's excise tax of 2%.</t>
  </si>
  <si>
    <t>* Vermont law prohibits billboards</t>
  </si>
  <si>
    <t>*  Sales of outdoor advertising space, such as billboards, are exempt from sales tax.</t>
  </si>
  <si>
    <t>*  See WY Dept of Rev Rules, Chap 2, Sec 13(a).</t>
  </si>
  <si>
    <t xml:space="preserve">       Radio &amp; television, national advertising</t>
  </si>
  <si>
    <t>*  Receipts from national or regional advertiser are deductible unless the advertiser is incorporated in the state or maintains its principal place of business in the state.</t>
  </si>
  <si>
    <t>*  Video tapes for use by movie theater, drive-in, radio and TV broadcasting are exempt.</t>
  </si>
  <si>
    <t xml:space="preserve">*  Deduction alloowed for network, national &amp; regional advertising.  </t>
  </si>
  <si>
    <t xml:space="preserve">       Radio &amp; television, local advertising</t>
  </si>
  <si>
    <t xml:space="preserve">*  Income from advertising subject to B&amp;O tax paid by the broadcaster.  </t>
  </si>
  <si>
    <t xml:space="preserve">       Newspaper</t>
  </si>
  <si>
    <t>*  Exempt after December 31, 1985, but local advertising remains taxable at the city level.</t>
  </si>
  <si>
    <t>*  Inserts to magazine and newspapers are taxable unless newspaper criteria are met.</t>
  </si>
  <si>
    <t>* See M.G.L. c. 64H, s. 6(m).</t>
  </si>
  <si>
    <t>* See Reg. 1-054</t>
  </si>
  <si>
    <t xml:space="preserve">*  Income from advertising subject to B&amp;O tax paid by the publisher.  </t>
  </si>
  <si>
    <t xml:space="preserve">       Magazine</t>
  </si>
  <si>
    <t xml:space="preserve">   Advertising  agency fees (not ad placement)</t>
  </si>
  <si>
    <t>*  Although such services are not generally taxable, certain "full-service" advertising agencies may provide services (e.g., photography, graphic design) that may render some or all of its gross receipts subject to tax under the retail or job printing classification.</t>
  </si>
  <si>
    <t>* Tax applies to any sales of tangible personal property.  If an advertising agency bills a lump-sum charge that includes both services and tangible personal property, a reasonable portion of the charge must be allocated to the sales price of the property and taxed.</t>
  </si>
  <si>
    <t>*  Exempt for media advertising and cooperative direct mail advertising services.</t>
  </si>
  <si>
    <t xml:space="preserve">* Taxable, after production of the master advertisement KY Regulation 103 KAR 26:120 </t>
  </si>
  <si>
    <t>*  If transfer of tangible personal property.</t>
  </si>
  <si>
    <t>*  Exempt only if sold directly to printer.</t>
  </si>
  <si>
    <t>*  Materials and supplies are taxable.  See R 205.133.</t>
  </si>
  <si>
    <t xml:space="preserve">* Nontaxable advertising is creative promotional services that meet three criteria: 1) the advertising has no functional use other than to carry the advertising message; 2) the advertising agency must be involved in the creation of the advertising, and; 3) the advertising agency must have a direct relationship with the advertiser. Other sales of advertising are taxable at 6.875%.  </t>
  </si>
  <si>
    <t>* See Reg. 1-056</t>
  </si>
  <si>
    <t>*  Transferring tangible personal property in conjunction with advertising services is subject to sales tax.</t>
  </si>
  <si>
    <t>*An advertising agency's sales of advertising models, works of art, digital final art work, and digital or tangible advertising materials are taxable. Advertising services that are not otherwise part of the sales price of taxable product are exempt.</t>
  </si>
  <si>
    <t>*  Charges for taxable products and services are taxable.  See Publication 235, Advertising Companies.</t>
  </si>
  <si>
    <t xml:space="preserve">   Armored car services</t>
  </si>
  <si>
    <t>*  General rate of 5.75% applied to armored car service effective October 1, 2011</t>
  </si>
  <si>
    <t>* See Reg. 1-101</t>
  </si>
  <si>
    <t>* Taxable if the service is performed entirely in NJ or customer's location is in NJ.</t>
  </si>
  <si>
    <t>*  Public utility tax; 0.642% rate if only within a city.</t>
  </si>
  <si>
    <t>*  W.S. 39-15-105(a)(viii)(A)(II) and W.S. 39-15-105(a)(ii)(A) exempts the intrastate and interstate transportation of freight. See Freight Bulletin. See WY Dept of Rev Rules Chap 2, Sec 5(i).</t>
  </si>
  <si>
    <t xml:space="preserve">   Bail bond fees</t>
  </si>
  <si>
    <t>*  Taxed under insurance premiums tax.</t>
  </si>
  <si>
    <t>*  Subject to insurance premiums tax.</t>
  </si>
  <si>
    <t xml:space="preserve">   Check &amp; debt collection</t>
  </si>
  <si>
    <t xml:space="preserve">   Commercial art and graphic design.</t>
  </si>
  <si>
    <t>*  The provision of some services (e.g., photography, graphic design) may render some or all of a commercial art or graphic design business's gross receipts subject to tax under the retail or job printing classification.</t>
  </si>
  <si>
    <t xml:space="preserve">* Services provided prior to a client's approval for completing a final work of art are not taxable.  Services connected with the creation of the final work of art are taxable, provided the artwork is delivered as tangible personal property.  Artwork delivered electronically is not subject to tax.  Sales of copyrights are, under certain circumstances, not taxable.   </t>
  </si>
  <si>
    <t>*  Note: charges for intangible personal property are not taxable.</t>
  </si>
  <si>
    <t xml:space="preserve">*  If the taxpayer is a QHTC, the sale of graphic design services is not subject to sales and use tax. </t>
  </si>
  <si>
    <t>*  Taxable at 6% when tangible personal property is created.  TPP used in performing these services is taxable to service provider.</t>
  </si>
  <si>
    <t>*  If tangible personal property is not involved.</t>
  </si>
  <si>
    <t>* Finished art and complete charge for tangible personal property are subject to tax.</t>
  </si>
  <si>
    <t>*Reproduction of tangible personal property for a charge is taxable.</t>
  </si>
  <si>
    <t xml:space="preserve">*  See commercial advertising elements, MCL 205.54d(h).  </t>
  </si>
  <si>
    <t>* Taxable when the service results in the sale of taxable items such as artwork.</t>
  </si>
  <si>
    <t>* tangible art and graphic designs are taxable; digital art and graphic designs are exempt</t>
  </si>
  <si>
    <t>*  Sale of artwork is taxable, but creative advertising services are exempt.</t>
  </si>
  <si>
    <t>*  Sale of finished artwork is taxable.</t>
  </si>
  <si>
    <t>*  Transferring any tangible personal property in conjunction with these services is subject to sales tax.</t>
  </si>
  <si>
    <t>* Taxable if true object of the transaction is the sale of tangible personal property.</t>
  </si>
  <si>
    <t>*Separately stated graphic design services are exempt.</t>
  </si>
  <si>
    <t>*  Wyoming does not impose tax on the creative process of art and design. However sales of tangible personal property beyond the creative process are taxable per W.S. 39-15-103(a)(i)(A).</t>
  </si>
  <si>
    <t xml:space="preserve">   Commercial linen supply</t>
  </si>
  <si>
    <t>*  Rental of linen taxable</t>
  </si>
  <si>
    <t xml:space="preserve">* Generally, a temporary use of tangible personal property for consideration is considered to be a taxable lease.  However, if an essential part of lease agreement is laundering or cleaning of the linens, the charges for the lease are not taxable.  Instead, the lessor is considered a consumer of the linens and tax applies to purchased price of the rental inventory. </t>
  </si>
  <si>
    <t>*  Unless elect to tax as rental of clean linen.</t>
  </si>
  <si>
    <t>*  Note: the rental of tangible personal property is taxable.</t>
  </si>
  <si>
    <t>*  Rental of textiles is subject to the sales tax.  Laundering and pressing when connected with the rental of linens is exempt from sales tax.</t>
  </si>
  <si>
    <t>*   Generally considered as rental activity not provision of service.</t>
  </si>
  <si>
    <t>*  Provided the tax is paid when lessor purchases the linens.</t>
  </si>
  <si>
    <t>* Taxable unless clothing</t>
  </si>
  <si>
    <t>*  Industrial laundry and linen services only.</t>
  </si>
  <si>
    <t>*  (Service)  Uniforms or items of clothing are exempt.  Vendor subject to use tax on linen supplies in providing its service.</t>
  </si>
  <si>
    <t>*   W.S. 39-15-103(a)(i(A) imposes sales tax on sales of tangible personal property.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</si>
  <si>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xml:space="preserve">   Credit information, credit bureaus</t>
  </si>
  <si>
    <t>*  Information services.</t>
  </si>
  <si>
    <t>* Taxable if the service/credit report is delivered to customers in NJ.</t>
  </si>
  <si>
    <t>*  Some credit rating and reporting services are subject to New York City local tax</t>
  </si>
  <si>
    <t xml:space="preserve">   Employment agencies</t>
  </si>
  <si>
    <t>* Exempt if principal place of employment is outside of Iowa and if the agency is an employment agency and not an executive search agency.</t>
  </si>
  <si>
    <t>*  Employment and employment placement services</t>
  </si>
  <si>
    <t xml:space="preserve">   Interior design and decorating</t>
  </si>
  <si>
    <t>*  Taxed if a retail sale of tangible personal property; exempt if only a sale of interior design services.</t>
  </si>
  <si>
    <t>*  Charges for new tangible personal property sold by the designer to the end consumer is considered taxable, such as new furniture or appliances.</t>
  </si>
  <si>
    <t>*  Income from services not taxable if separated from sale of tangible personal property.</t>
  </si>
  <si>
    <t>* Tax does not apply to the charges of an interior decorator when there is no sale of tangible personal property in connection with the charge.</t>
  </si>
  <si>
    <t>* Interior design is a miscellaneous service not designated as taxable and is exempt</t>
  </si>
  <si>
    <t>*  Labor services of applying or installing tangible personal property is taxable on existing commercial property.  Exempt if original construction or at a residence.</t>
  </si>
  <si>
    <t>*  Sales of tangible personal property subject to sales tax.</t>
  </si>
  <si>
    <t>*  If designer sells materials, fee may be part of taxable price.</t>
  </si>
  <si>
    <t>* Taxable if the services result in the sale of tangible personal property.</t>
  </si>
  <si>
    <t>* Sales and installation of tangible personal property is taxed at 7% including furniture, floor coverings, appliances and drapes.</t>
  </si>
  <si>
    <t>*Not temporary staffing.</t>
  </si>
  <si>
    <t>*G.S. 105-164.13(59) exempts interior design services provided in conjunction with the sale of tangible personal property.</t>
  </si>
  <si>
    <t>*  Sale of tangible personal property taxable.</t>
  </si>
  <si>
    <t>* Taxable if true object of the transaction is the sale of tangible personal property. See SC Regulation 117-309.10</t>
  </si>
  <si>
    <t>*  Painting, wallpapering, etc. are subject to contractor's excise tax.</t>
  </si>
  <si>
    <t xml:space="preserve">*Sales of tangible personal property are subject to tax. Design and decorating services that are part of the sale of the tangible personal are also taxable. </t>
  </si>
  <si>
    <t>*  Sale of tangible personal property is taxable at 5.3%.</t>
  </si>
  <si>
    <t>*  Taxable if provided in conjunction with the sale of taxable products.</t>
  </si>
  <si>
    <t>*  Wyoming does not impose tax on the creative process of interior design and decorating. However sales of tangible personal property beyond the creative process are taxable per W.S. 39-15-103(a)(i)(A).</t>
  </si>
  <si>
    <t xml:space="preserve">   Maintenance and janitorial services</t>
  </si>
  <si>
    <t>*  Some activities rising above mere cleaning (e.g., repairs and replacement) performed on real property and fixtures are potentially taxable under the prime contracting classification.</t>
  </si>
  <si>
    <t xml:space="preserve">*  Cleaning  of real property is exempt. Cleaning of tangible personal property is taxable both state and local sales tax. </t>
  </si>
  <si>
    <t>*  Includes cleaning of any part of a commercial or industrial building.</t>
  </si>
  <si>
    <t>* See Reg. 1-098</t>
  </si>
  <si>
    <t>*Repairs to tangible personal property are taxable.</t>
  </si>
  <si>
    <t>* Janitorial and custodial services are taxable. Maintenance of real property is exempt.</t>
  </si>
  <si>
    <t>*  If routine and repetitive, and not specialized to an item of tangible personal property.</t>
  </si>
  <si>
    <t>*  W.S. 39-15-103(a)(i)(J) imposes tax on services that repair, alter or improve  tangible personal property but does not impose sales tax on services that repair, alter, improve or construct real property. See WY Dept of Rev Rules, Chap 2, Sec 10(c).</t>
  </si>
  <si>
    <t xml:space="preserve">   Lobbying and consulting</t>
  </si>
  <si>
    <t>*  Exempt when directed at federal government, international government or a state's government other than CT.</t>
  </si>
  <si>
    <t>* Lobbying services are subject to sales tax.  Consulting services are exempt from sales tax.</t>
  </si>
  <si>
    <t>*  Lobbying is exempt, consulting is exempt when performed by professional (i.e., doctor, lawyer).  If rendering consultation outside of expertise, taxable at 6%.</t>
  </si>
  <si>
    <t xml:space="preserve">   Marketing</t>
  </si>
  <si>
    <t>*  Although such services are not generally taxable, certain "full-service" marketing firms may provide services (e.g., photography, graphic design) that may render some or all of its gross receipts subject to tax under the retail or job printing classification.</t>
  </si>
  <si>
    <t>* Taxable only if properly considered advertising</t>
  </si>
  <si>
    <t>* Packaging and crating services are not taxable provided the packer separately states the charge for services.  Packagers are typically regarded as consumers of the packaging materials.  However, the packager may choose to sell packing and crating materials to its customer for a separate charge.</t>
  </si>
  <si>
    <t>* Tax applies when the vendee buys for consumption</t>
  </si>
  <si>
    <t xml:space="preserve">*  Packing material sold for use in agricultural, livestock, or dairy production is exempt. Packing material sold to retailers or manufacturers fo the purpose of packaging or facilitating the transportation of tangible personal property sold at retail or transferred in association with the maintenance or repair of fabric or clothing is also exempt. </t>
  </si>
  <si>
    <t>*Taxable if part of the sale of tangible personal property.</t>
  </si>
  <si>
    <t>* Packing material may be subject to tax.</t>
  </si>
  <si>
    <t>*Sales of crates or boxes are taxable, however a business exemption may be claimed for the purchase of certain returnable containers.</t>
  </si>
  <si>
    <t>* See Reg. 1-026</t>
  </si>
  <si>
    <t>* Taxed as "delivery charges" if performed by seller of property.</t>
  </si>
  <si>
    <t>*  Packing material is taxable to the consumer.</t>
  </si>
  <si>
    <t xml:space="preserve">* Sales of crating and packing materials are taxable. Exempt if direct manufacturing use. </t>
  </si>
  <si>
    <t>*  Wrapping services are taxable.</t>
  </si>
  <si>
    <t>* Taxable if packing and crating is sold to the customer.</t>
  </si>
  <si>
    <t>*  Assumes (1) the packing and crating is a "mailing service" or (2) the property being serviced is intended for resale.  "Mailing services," which include addressing, enclosing, sealing, metering, affixing stamps, sorting, tying, and sacking in compliance with postal rules and regulations, are exempt from tax if they are separately stated on the invoice to the customer.  "Mailing services" do not include assembly or collation (i.e., taxable unless an exemption applies).</t>
  </si>
  <si>
    <t xml:space="preserve">   Exterminating (includes termite services)</t>
  </si>
  <si>
    <t>*  Considered a contracting activity.</t>
  </si>
  <si>
    <t>* See Reg. 1-100</t>
  </si>
  <si>
    <t xml:space="preserve">* Taxable if the extermination service is to tangible personal property (e.g., recreational vehicle, food storage trailer) and the tangible personal property is not exempt from tax. </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</si>
  <si>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WY Dept of Rev Rules, Chap 2, Sec 13(j) regarding exterminators.</t>
  </si>
  <si>
    <t xml:space="preserve">   Photocopying services</t>
  </si>
  <si>
    <t>*  Treated as sale of tangible property.</t>
  </si>
  <si>
    <t>*  Charges for copies are taxable.</t>
  </si>
  <si>
    <t>*  Unless elect to treat as sale of copies - 2.9%</t>
  </si>
  <si>
    <t>*  Reproduction, addressing, mailing are taxable.</t>
  </si>
  <si>
    <t>*  Exempt unless there is a per page fee</t>
  </si>
  <si>
    <r>
      <t xml:space="preserve">*  Taxable fabrication service </t>
    </r>
    <r>
      <rPr>
        <sz val="14"/>
        <color rgb="FFFF0000"/>
        <rFont val="Arial"/>
        <family val="2"/>
        <scheme val="minor"/>
      </rPr>
      <t>(under Service Provider Tax)</t>
    </r>
  </si>
  <si>
    <t xml:space="preserve">*  Considered tangible personal property.  </t>
  </si>
  <si>
    <t>*  Considered sale of tangible property.</t>
  </si>
  <si>
    <t>* See Reg. 1-058.</t>
  </si>
  <si>
    <t>*  Plus local taxes.</t>
  </si>
  <si>
    <t xml:space="preserve">*Considered tangible property.    </t>
  </si>
  <si>
    <t>* Sale of tangible personal property.</t>
  </si>
  <si>
    <t>* Not taxable if a photocopy is provided incidentally with a nontaxable service.</t>
  </si>
  <si>
    <t xml:space="preserve">*   W.S. 39-15-103(a)(i)(A) imposes sales tax on all sales of tangible personal property. </t>
  </si>
  <si>
    <t xml:space="preserve">   Photo finishing</t>
  </si>
  <si>
    <t xml:space="preserve">*  Tax applies to all film processing charges other than separately stated charges for the negative development of customer furnished film.   </t>
  </si>
  <si>
    <t>*  Taxable if prints delivered.  Exempt if developing only.</t>
  </si>
  <si>
    <t>* 103 KAR 27:120</t>
  </si>
  <si>
    <t xml:space="preserve">*  Considered tangible personal property. </t>
  </si>
  <si>
    <t>*  Photographic prints are taxable when price includes processing as well as tangible personal property, but not taxable when development service alone.</t>
  </si>
  <si>
    <t>*  Developing charge exempt if separately stated.</t>
  </si>
  <si>
    <t>* Taxable if part of a charge for the sale of photographs. See SC Regulation 117-309.2</t>
  </si>
  <si>
    <r>
      <t xml:space="preserve">*  Sale of photographs, slides, prints, etc. are taxable.  </t>
    </r>
    <r>
      <rPr>
        <sz val="14"/>
        <color rgb="FFFF0000"/>
        <rFont val="Arial"/>
        <family val="2"/>
        <scheme val="minor"/>
      </rPr>
      <t>The tax applies to the total charge, including charges for labor, design, etc.</t>
    </r>
  </si>
  <si>
    <t>*  W.S. 39-15-103(a)(i)(A) imposes sales tax on all sales of tangible personal property. See WY Dept of Rev Rules, Chap 2, Sec 13(y) regarding photography, photo developing and enlarging.</t>
  </si>
  <si>
    <t xml:space="preserve">   Printing</t>
  </si>
  <si>
    <t>* Fabrication of printed material is generally subject to tax.  However, certain exemptions apply, such as to printed sales messages.</t>
  </si>
  <si>
    <t>*  Sales of printed matter are taxable retail sales unless destined for resale.  Purchases of ink and paper by printer generally exempt.</t>
  </si>
  <si>
    <t>*  Considered goods under DE law.  Rates, exemptions vary with production stage: Manufacturers = 0.25% on receipts in excess of $1,000,000/mo; Wholesalers = .3980% over $100,000; Retailers = 0.72% over $100,000.</t>
  </si>
  <si>
    <t>*  Commercial job printing is considered a manufacturing activity taxed at 0.5%.</t>
  </si>
  <si>
    <t>*  Exempt if the printed material is shipped, mailed, or delivered outside Indiana.</t>
  </si>
  <si>
    <t>*  Includes printing or overprinting, lithograph, multilith, blueprinting, Photostatting, or similar services of reproducing written or graphic matter.</t>
  </si>
  <si>
    <r>
      <t xml:space="preserve">*  Printing or imprinting of property is a taxable fabrication service </t>
    </r>
    <r>
      <rPr>
        <sz val="14"/>
        <color rgb="FFFF0000"/>
        <rFont val="Arial"/>
        <family val="2"/>
        <scheme val="minor"/>
      </rPr>
      <t>(under the Service Provider Tax)</t>
    </r>
    <r>
      <rPr>
        <sz val="14"/>
        <rFont val="Arial"/>
        <family val="2"/>
        <scheme val="minor"/>
      </rPr>
      <t>.</t>
    </r>
  </si>
  <si>
    <t>* See Regulation 830 CMR 64H.6.2, exemption at M.G.L. c. 64H, s. 6(ff) and DOR Directive 03-8.</t>
  </si>
  <si>
    <t>* See Reg. 1-057.</t>
  </si>
  <si>
    <t>* Taxable if printer produces such items as brochures, letterheads, envelopes, circulars, etc.</t>
  </si>
  <si>
    <t>*  Printing and imprinting taxable.</t>
  </si>
  <si>
    <t>*   W.S. 39-15-103(a)(i)(A) imposes sales tax on all sales of tangible personal property. See WY Dept of Rev Rules, Chap 2, Sec 13(z) regarding printers.</t>
  </si>
  <si>
    <t xml:space="preserve">   Private investigation (detective) services</t>
  </si>
  <si>
    <t>*  General rate of 5.75% applied to private investigative services effective October 1, 2011</t>
  </si>
  <si>
    <t>* Excluding private detective services furnished by a peace officer with the knowledge and consent of the officer's law enforcement agency.</t>
  </si>
  <si>
    <t>* Taxable if investigative report is delivered to NJ.</t>
  </si>
  <si>
    <t xml:space="preserve"> Business Services (continued)</t>
  </si>
  <si>
    <t xml:space="preserve">   Process server fees</t>
  </si>
  <si>
    <t>* Except when performed by a Nebraska licensed private detective, See Reg. 1-101</t>
  </si>
  <si>
    <t xml:space="preserve">   Public relations, management consulting</t>
  </si>
  <si>
    <t>*  Although such services are not generally taxable, certain "full-service" public relations firms may provide services (e.g., photography, graphic design) that may render some or all of its gross receipts subject to tax under the retail or job printing classification.</t>
  </si>
  <si>
    <t>56141/561492</t>
  </si>
  <si>
    <t xml:space="preserve">   Secretarial and court reporting services</t>
  </si>
  <si>
    <t>*  Charges for individually typed material not taxable.  Sales of mechanically duplicated material generally taxable.</t>
  </si>
  <si>
    <t>*  Extra costs, and video taping service taxable.</t>
  </si>
  <si>
    <t>* Sale of a transcript is taxable.</t>
  </si>
  <si>
    <t xml:space="preserve">*Some activities may fit into the definition of automatic data processing and could be considered taxable services </t>
  </si>
  <si>
    <t>*  Secretarial and editing services are subject to sales tax, court reporting is not.</t>
  </si>
  <si>
    <t>*  Secretarial services taxable; court reporting exempt.</t>
  </si>
  <si>
    <t xml:space="preserve">   Security services</t>
  </si>
  <si>
    <t xml:space="preserve">* Security services provided by an employee, or a temporary or leased employee as defined by Ark. Code Ann. § 26-52-301(3)(B)(vii), of the business utilizing the services are not subject to the tax. </t>
  </si>
  <si>
    <t>*  Security alarm system installations are taxable under the prime contracting classification; subsequent monitoring services may be taxable if income from such services cannot be separated from the contracting business.  Manned security services are generally exempt from tax.</t>
  </si>
  <si>
    <t>*  General rate of 5.75% applied to security services effective October 1, 2011</t>
  </si>
  <si>
    <t>* Excluding private security services furnished by a peace officer with the knowledge and consent of the officer's law enforcement agency.</t>
  </si>
  <si>
    <t>* Security, burglar and fire alarm services are taxable.</t>
  </si>
  <si>
    <t>* Taxable if property guarded is located in NJ.</t>
  </si>
  <si>
    <t>*  Help supply services are taxable.</t>
  </si>
  <si>
    <t>* May be taxable if security monitoring services are provided electronically (as telecommunications message services).</t>
  </si>
  <si>
    <t xml:space="preserve">   Sign construction and installation</t>
  </si>
  <si>
    <t>* Taxable if installing or replacing an electrical sign unless in a newly constructed or substantially modified building</t>
  </si>
  <si>
    <t>*  Taxable under the prime contracting classification or retail classification, depending on the nature of the sign.</t>
  </si>
  <si>
    <t>* Depending on the type of sign, it may be treated as either a fixture or a material.  A construction contractor is generally consumer of "materials" and retailer of "fixture" furnished and installed.  Tax is due on charges for any sign qualifying as a fixture.</t>
  </si>
  <si>
    <t>*  Cost of material taxable, sale of sign taxable.</t>
  </si>
  <si>
    <t>* Seperately stated installation exempt if rendered to new construction or simple installation of tangible personal property.</t>
  </si>
  <si>
    <t>* The charge is not taxable if separately stated from the sale of the sign</t>
  </si>
  <si>
    <t>*  Sign construction taxable, installation labor is exempt.</t>
  </si>
  <si>
    <t>*  TPP transferred taxed, installation exempt if separately stated</t>
  </si>
  <si>
    <t>* Installation is exempt if in connection with original construction of a building or facility or at a residence.</t>
  </si>
  <si>
    <t xml:space="preserve">*If after fabrication and installation sign remains TPP, then taxable sales subject to 6%. </t>
  </si>
  <si>
    <t>*  Separately stated installation is exempt.</t>
  </si>
  <si>
    <t>*  Most commercial signs are taxable personality.  Some may be non-taxable realty improvement (material taxable to seller).</t>
  </si>
  <si>
    <t>* Separately stated installation charge is exempt.</t>
  </si>
  <si>
    <t>*  Signs are considered tangible personal property, unless a permanent part of real estate.</t>
  </si>
  <si>
    <t>* Only exempt if the installation results in an improvement to real property.</t>
  </si>
  <si>
    <t>*Separately stated labor exempt</t>
  </si>
  <si>
    <t>* The sign itself is taxable if not attached to real property, plus local taxes</t>
  </si>
  <si>
    <t>* Sign is taxable; installation is taxable unless an exempt capital improvement.</t>
  </si>
  <si>
    <t>*G.S. 105-164.4(a)(16); exceptions for items that are taxed are real property contracts with respect to a capital improvement and taxed in accordance with G.S. 105-164.4H.</t>
  </si>
  <si>
    <t>*  Billboards and signs printed on real property are exempt.  Other signage is taxable.  Rule 5703-9-29, 5703-9-30.</t>
  </si>
  <si>
    <t xml:space="preserve">* Installation exempt if separately stated. </t>
  </si>
  <si>
    <t>*  Signs and installation are subject to tax if the sign remains tangible personal property.</t>
  </si>
  <si>
    <t>*  Installation exempt if separately stated.</t>
  </si>
  <si>
    <t>* Installation not taxed if separately billed.</t>
  </si>
  <si>
    <t xml:space="preserve">*  Subject to 2% contractors excise tax if it becomes part of real property </t>
  </si>
  <si>
    <t xml:space="preserve">* If sign remains tangible, then sales price of sign and installation are taxable.  If sign becomes realty upon installation, the seller owes tax on the fabricated cost of the sign, and installation is not taxable. </t>
  </si>
  <si>
    <t>* Taxable if mounted on an existing structure. Separately-stated charges for materials mounted on new pylons are taxable, but a separately-stated labor charge is not. Repairs or changes made to existing signs are taxable.</t>
  </si>
  <si>
    <t>*  Taxable if TPP.  Installation charge to install a TTP sign to real property is exempt if separately stated.</t>
  </si>
  <si>
    <t>*  If personal property.</t>
  </si>
  <si>
    <r>
      <t xml:space="preserve">*  </t>
    </r>
    <r>
      <rPr>
        <sz val="14"/>
        <color rgb="FFFF0000"/>
        <rFont val="Arial"/>
        <family val="2"/>
        <scheme val="minor"/>
      </rPr>
      <t>Signs that become attached to realty are exempt from sales tax.</t>
    </r>
    <r>
      <rPr>
        <sz val="14"/>
        <rFont val="Arial"/>
        <family val="2"/>
        <scheme val="minor"/>
      </rPr>
      <t xml:space="preserve">  Non-realty signs are taxable at 5.3% on the fabricated price.  Separately stated installation labor is exempt.</t>
    </r>
  </si>
  <si>
    <t>*  Exempt if it results in a capital improvement (i.e., hotel, motel or restaurant).</t>
  </si>
  <si>
    <t>*  Signs that are real property improvements are exempt.  Advertising signs are personal property, except for their concrete foundations.</t>
  </si>
  <si>
    <t xml:space="preserve">*   If installed to real property: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If installed without becoming real property: W.S. 39-15-103(a)(i)(J) imposes tax on services that repair, alter or improve tangible personal property as well as sales of tangible personal property per W.S. 39-15-103(a)(i)(A). </t>
  </si>
  <si>
    <t xml:space="preserve">   Telemarketing services on contract</t>
  </si>
  <si>
    <t>*  Help supply services are subject to sales tax.</t>
  </si>
  <si>
    <t xml:space="preserve">   Telephone answering service</t>
  </si>
  <si>
    <t>*  Voicemail taxable under the telecommunications classification.</t>
  </si>
  <si>
    <t>* Telephone answering services are taxable if they are automated. Answering services provided by live operators are not taxable.</t>
  </si>
  <si>
    <t>* Taxable if voice mail is bundled in telephone bill.</t>
  </si>
  <si>
    <t>* Taxable if voice mail service.</t>
  </si>
  <si>
    <t>* See line item #51 above and  SC Revenue Ruling #06-8.</t>
  </si>
  <si>
    <t>*  Automated or partially automated answering services are subject to the Communications Sales and Use Tax at 5%. Live operator answering services are not subject to the Communications Sales and Use Tax.</t>
  </si>
  <si>
    <t>*  Taxable telecommunications message service.</t>
  </si>
  <si>
    <t xml:space="preserve">   Temporary help agencies</t>
  </si>
  <si>
    <t>*  Temporary help is taxable when the help is performing taxable service (i.e., landscaping, janitorial and data processing).</t>
  </si>
  <si>
    <r>
      <t xml:space="preserve">*  Machine operators </t>
    </r>
    <r>
      <rPr>
        <sz val="14"/>
        <color rgb="FFFF0000"/>
        <rFont val="Arial"/>
        <family val="2"/>
        <scheme val="minor"/>
      </rPr>
      <t>are taxable</t>
    </r>
    <r>
      <rPr>
        <sz val="14"/>
        <rFont val="Arial"/>
        <family val="2"/>
        <scheme val="minor"/>
      </rPr>
      <t>.</t>
    </r>
  </si>
  <si>
    <t>*Taxability depends on service performed.</t>
  </si>
  <si>
    <t>*Unless such services constitute repair, maintenance, and installation services and subject to tax under G.S. 105-164.4(a)(16).</t>
  </si>
  <si>
    <t>*  Secretarial,  computer, and help supply services are subject to sales tax.</t>
  </si>
  <si>
    <t xml:space="preserve">*  B&amp;O tax paid by the firm; rate depends upon the actual activity engaged in by the temp. employees.  </t>
  </si>
  <si>
    <t>*  Assumes the seller is a temporary help company, employee leasing company, or professional employer organization who meets certain criteria identified in Wisconsin Tax Bulletins #165 and #168.</t>
  </si>
  <si>
    <t xml:space="preserve">   Test laboratories (excluding medical)</t>
  </si>
  <si>
    <t>*  Excluding tests on humans or animals, and excluding environmental testing services.</t>
  </si>
  <si>
    <t>*  Testing of oil, gas, water and other mineral resources taxable at 7%.</t>
  </si>
  <si>
    <t>*  If inspection of tangible personal property.</t>
  </si>
  <si>
    <t>326212/811198</t>
  </si>
  <si>
    <t xml:space="preserve">   Tire recapping and repairing</t>
  </si>
  <si>
    <t>* Materials taxable, labor exempt.</t>
  </si>
  <si>
    <t>* Customer's own tires - Parts and materials only taxable; if a lump sum charge is made, 75% of total charge is taxable as retail sales of material.</t>
  </si>
  <si>
    <t>*  Labor must be separatley stated from tangible personal property used in repair.</t>
  </si>
  <si>
    <t>*  Recapping is defined as industrial processing.</t>
  </si>
  <si>
    <t>*  Separately stated tire repair labor is exempt, tire recapping taxable as fabrication labor, KY Regulation 103 KAR 28:030</t>
  </si>
  <si>
    <t>*  Materials used to retread tires are taxable and labor is exempt.  See R 205.130.</t>
  </si>
  <si>
    <t>* Separately stated labor charges exempt; materials taxable.</t>
  </si>
  <si>
    <t>*  For customers who furnish their own tire carcasses for retreading.</t>
  </si>
  <si>
    <t>* Parts and materials are only taxable if repair labor is separately stated.  (see Reg. 1-059 for recapping.)</t>
  </si>
  <si>
    <t>*  Tire recapping is taxableat 5%.</t>
  </si>
  <si>
    <t>* Taxable if not a repair to a motor vehicle.</t>
  </si>
  <si>
    <t>*  Tire repair is exempt.  Tire recapping is taxable at 5.3%.</t>
  </si>
  <si>
    <t xml:space="preserve">   Window cleaning</t>
  </si>
  <si>
    <t>*  Taxable under Real Property Maintenance.</t>
  </si>
  <si>
    <t>*  Exempt if performed for home owner.</t>
  </si>
  <si>
    <t>*  Building maintenance and janitorial service.</t>
  </si>
  <si>
    <t>* Taxable if window is tangible personal property (e.g., automobile window).</t>
  </si>
  <si>
    <t>*   W.S. 39-15-103(a)(i)(J) imposes tax on services that repair, alter or improve  tangible personal property but does not impose sales tax on services that repair, alter, improve or construct real property. See WY Dept of Rev Rules, Chap 2, Sec 10(c).</t>
  </si>
  <si>
    <t>Computer:</t>
  </si>
  <si>
    <t xml:space="preserve">    Software - package or canned program</t>
  </si>
  <si>
    <t>*  Computer software in tangible form is taxable.</t>
  </si>
  <si>
    <t>*  Taxable under the retail classification.</t>
  </si>
  <si>
    <t>*  Taxable if delivered as tangible personal property.  Software delivered electronically is not taxable.</t>
  </si>
  <si>
    <t>*  Exempt if delivered electronically</t>
  </si>
  <si>
    <t>* If transferred on storage media that is retained by the user; exempt if downloaded, remotely accessed or transferred via load and leave</t>
  </si>
  <si>
    <t>* Exempt if delivered to the purchaser digitally.</t>
  </si>
  <si>
    <t>* Software delivered via tangible medium is taxable however, canned software delivered via electronic download is not taxable.</t>
  </si>
  <si>
    <r>
      <t xml:space="preserve">* Taxable unless software is delivered electronically for business use pursuant to </t>
    </r>
    <r>
      <rPr>
        <u/>
        <sz val="14"/>
        <rFont val="Arial"/>
        <family val="2"/>
        <scheme val="minor"/>
      </rPr>
      <t>N.J.S.A.</t>
    </r>
    <r>
      <rPr>
        <sz val="14"/>
        <rFont val="Arial"/>
        <family val="2"/>
        <scheme val="minor"/>
      </rPr>
      <t xml:space="preserve"> 54:32B-8.56.</t>
    </r>
  </si>
  <si>
    <t>*See G.S. 105-164.13(43a) and (43b) for exemptions.</t>
  </si>
  <si>
    <t>* For more information on the taxation of software, maintenances contracts and associated charges, see SC Revenue Ruling #05-13 and SC Regulation 117-330.</t>
  </si>
  <si>
    <t>* Includes updates to a computer program.</t>
  </si>
  <si>
    <t>*  Modification of prewritten software programs is not considered custom software and the sale of this type of program is taxable.  However, separately stated labor or service charges in connection with the modification is exempt.</t>
  </si>
  <si>
    <t>541511/2</t>
  </si>
  <si>
    <t xml:space="preserve">    Software - modifications to canned program</t>
  </si>
  <si>
    <t>*  Exempt if the modification is for the specific use of an individual customer, if the charge is separately stated on the sales invoice and records.</t>
  </si>
  <si>
    <t>*  Modifications are taxable if delivered as tangible personal property and not separately stated.  Modifications delivered electronically or separately stated are not subject to tax.</t>
  </si>
  <si>
    <t>*  Customization service exempt.  TPP used in performing these services is taxable to service provider.</t>
  </si>
  <si>
    <t>*  Sales of custom or modified software to customer is retail activity taxed at 4%.  Sales for resale are taxable at wholesale rate of .5%.</t>
  </si>
  <si>
    <t>*  To extent of modification, canned part is taxable.</t>
  </si>
  <si>
    <t>*  Canned portion is taxable; modifications must be separately stated.</t>
  </si>
  <si>
    <t>* Taxable if the modification is canned software.</t>
  </si>
  <si>
    <r>
      <t xml:space="preserve">* </t>
    </r>
    <r>
      <rPr>
        <sz val="14"/>
        <rFont val="Arial"/>
        <family val="2"/>
        <scheme val="minor"/>
      </rPr>
      <t xml:space="preserve"> Except for modifications separately stated from 3rd party who is not the creator of the original prewritten software. See prewritten computer software definition in KRS 139.010.</t>
    </r>
  </si>
  <si>
    <t>*  Does not include charges for installation.</t>
  </si>
  <si>
    <t>*  If separately stated</t>
  </si>
  <si>
    <t>* See Regulation 830 CMR 64H.1.3(6)(d).</t>
  </si>
  <si>
    <t>*  Exempt if separately stated.</t>
  </si>
  <si>
    <t>* The charge for the canned or packaged program is taxable, but a charge for modification is exempt if separately stated.</t>
  </si>
  <si>
    <t>* Where pre-written software is modified to meet a customer's requirements, the underlying sale of  pre-written software is subject to sales tax but the separately stated commercially-reasonable labor charge for the modification service is nontaxable as a professional service.</t>
  </si>
  <si>
    <t>*See G.S. 105-164.13(43).</t>
  </si>
  <si>
    <t>* Exempt if itemized separately from sale of canned program.</t>
  </si>
  <si>
    <t>*  If separately stated.</t>
  </si>
  <si>
    <t>* See Remarks for line item #107 above.</t>
  </si>
  <si>
    <t>* Programming services are not taxable if the customer acquired the computer program from a third party and the programmer retains no rights in the computer program modification.</t>
  </si>
  <si>
    <t>*  Ceratin modifiactions or enhancements may be exempt if there is a reasonable, separately stated charge.  See sec. 77.51(10r), Wis. Stats. (2015-16).</t>
  </si>
  <si>
    <t xml:space="preserve">*   W.S. 39-15-103(a)(i)(J) imposes tax on services that repair, alter or improve tangible personal property. See WY Dept of Rev Rules, Chap 2, Sec 13(d) regarding computer hardware and software. </t>
  </si>
  <si>
    <t xml:space="preserve">    Software - custom programs - material</t>
  </si>
  <si>
    <t>*  Custom computer programs are generally exempt.  Additional copies of custom software or materials are taxable, provided they are delivered as tangible personal property.</t>
  </si>
  <si>
    <t>*  Note: charges (such as license fees) for the mere use and possession of custom software, stated separately from charges for taxable computer and data processing services or prewritten software, are not taxable.</t>
  </si>
  <si>
    <t>*  See Rule 12A-1.032(4), F.A.C.  TPP used in performing  these services is taxable to service provider.</t>
  </si>
  <si>
    <r>
      <t xml:space="preserve">*  </t>
    </r>
    <r>
      <rPr>
        <sz val="14"/>
        <rFont val="Arial"/>
        <family val="2"/>
        <scheme val="minor"/>
      </rPr>
      <t>KRS 139.010(22) &amp; (33)</t>
    </r>
  </si>
  <si>
    <t>*  Seventy-five percent (75%) of sales price excluded July 1, 2004, through June 30, 2005; totally excluded thereafter.</t>
  </si>
  <si>
    <t>*  Custom programs &amp; materials: tax applies on materials consumed by servicer in developing custom program.  See RAB 1999-05.</t>
  </si>
  <si>
    <t>* Sales of custom programs are not taxable.  Purchases of materials used in producing the programs are taxable.</t>
  </si>
  <si>
    <t>* Only "custom" if created for one user.</t>
  </si>
  <si>
    <t>*  Custom software programming is exempt.  Computer programming, i.e., system programming, is still subject to taxation.</t>
  </si>
  <si>
    <t>*If customer is original purchaser.</t>
  </si>
  <si>
    <t>*  Sales tax applies to the materials used by the developers of custom software.</t>
  </si>
  <si>
    <t>*  Materials are taxable to vendor; sale exempt, assuming the software does not meet the definition of "prewritten computer software" in sec. 77.51(10r), Wis. Stats. (2015-16).</t>
  </si>
  <si>
    <t>*  Wyoming does not impose sales tax on the service of creating custom software. Materials and supplies used to create the program/software taxable to the purchaser per W.S. 39-15-103(a)(i)(A).</t>
  </si>
  <si>
    <t xml:space="preserve">    Software - custom programs - professional serv.</t>
  </si>
  <si>
    <t>*  Custom computer software in tangible form is taxable.  Professional services are exempt.</t>
  </si>
  <si>
    <t>*  Purchases by service vendor are taxable, but services delivered are exempt.  TPP used in performing these services is taxable to service provider.</t>
  </si>
  <si>
    <t xml:space="preserve">* Professional services that do not result in new computer software, or modifications to existing programs are exempt.  (See Reg. 1-088.) </t>
  </si>
  <si>
    <t>* Generally not taxable; but see G.S. 105-164.13(43)</t>
  </si>
  <si>
    <t>*  Computer services and data processing charges are taxable.</t>
  </si>
  <si>
    <t xml:space="preserve">* Services involved with the sale, lease, rental, creation, design, development, or alteration of computer software is taxable.  </t>
  </si>
  <si>
    <t>* Programming services are not taxable if the programmer retains no rights in the computer program.</t>
  </si>
  <si>
    <r>
      <t>*  Professional services are exempt in West Virginia from sales tax</t>
    </r>
    <r>
      <rPr>
        <sz val="14"/>
        <color rgb="FFFF0000"/>
        <rFont val="Arial"/>
        <family val="2"/>
        <scheme val="minor"/>
      </rPr>
      <t>.</t>
    </r>
    <r>
      <rPr>
        <sz val="14"/>
        <rFont val="Arial"/>
        <family val="2"/>
        <scheme val="minor"/>
      </rPr>
      <t xml:space="preserve">  </t>
    </r>
    <r>
      <rPr>
        <b/>
        <u/>
        <sz val="14"/>
        <color theme="3"/>
        <rFont val="Arial"/>
        <family val="2"/>
        <scheme val="minor"/>
      </rPr>
      <t>"Professional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 11-15-1 et seq. to be professional.</t>
    </r>
  </si>
  <si>
    <t xml:space="preserve"> *  Wyoming does not impose sales tax on the service of creating custom software. Materials and supplies used to create the program/software taxable to the purchaser per W.S. 39-15-103(a)(i)(A).</t>
  </si>
  <si>
    <t xml:space="preserve">    Internet Service Providers-Dialup</t>
  </si>
  <si>
    <t>* Internet Access is Exempt</t>
  </si>
  <si>
    <t xml:space="preserve">*  Not subject to sales tax, but there is a moratorium on taxes on Internet access and multiple and discriminatory taxes on electronic commerce originally enacted by the Internet Tax Freedom Act, P.L. 105-277. 
</t>
  </si>
  <si>
    <t>*  taxable at 4%</t>
  </si>
  <si>
    <t>*Telecommunications services purchased by ISP not subject to tax after November 1, 2005.  See TIR 05-8.</t>
  </si>
  <si>
    <t>* Charges to access Internet are exempt. Telecommunications services used to provide or obtain Internet access are taxable.</t>
  </si>
  <si>
    <t>* ISP charges are exempt; separate transmission charges are taxable (e.g., DSL line)</t>
  </si>
  <si>
    <t>* Exempt July 1, 2017.</t>
  </si>
  <si>
    <t>*  Electronic information service.  Business use only.</t>
  </si>
  <si>
    <t>* See SC Revenue Ruling #06-8.</t>
  </si>
  <si>
    <t>* No tax is due on the first $25 of a monthly charge for Internet access.</t>
  </si>
  <si>
    <t>*  Taxable if customer's place of primary use is in WI.</t>
  </si>
  <si>
    <t>*  Internet services are not subject to Wyoming sales tax. The Internet Tax Freedom Act is a federal moratorium that prohibits state taxation of certain internet access fees, primarily dial-up internet access. Effective November 1, 2005 the federal moratorium was extended to broadband and DSL internet access fees.  However, if an intrastate telecommunications service is provided as part of the access, the telecommunications fee is taxable per W.S. 39-15-103(a)(i)(C).</t>
  </si>
  <si>
    <t xml:space="preserve">    Internet Service Providers-DSL or other broadband</t>
  </si>
  <si>
    <t>* Subject to 6% Utility Tax</t>
  </si>
  <si>
    <t xml:space="preserve">* Receipts from providing telecommunications services, internet services, internet access services to persons who provide these services are deductible. Receipts from providing these services to the end user are taxable. </t>
  </si>
  <si>
    <t>* Exemtp July 1, 2017.</t>
  </si>
  <si>
    <t>* Internet access is exempt.</t>
  </si>
  <si>
    <t>*  Provided the DSL charges are separate from those for voice communication services and are to end users.</t>
  </si>
  <si>
    <t>* See Remarks for line item #111 above.</t>
  </si>
  <si>
    <t xml:space="preserve">    Information services</t>
  </si>
  <si>
    <t>*  Exempt unless related to the leasing or renting of prewritten software (i.e., as an application service provider).</t>
  </si>
  <si>
    <t>*  Services are exempt when furnished to newspapers, radio and television stations.  Such transactions are not taxable if no TPP is provided.  Taxable; see rule 12A-1.062  TPP used in performing these services is taxable to service provider.</t>
  </si>
  <si>
    <t>*  Installation, setup and configuration of computer systems are taxable at 7%.</t>
  </si>
  <si>
    <t>* Charges to access or use an online database/information service are taxable. For examples of taxable and non-taxable communication services, see SC Revenue Ruling #06-8.</t>
  </si>
  <si>
    <t>* 20 percent of the charge is exempt.</t>
  </si>
  <si>
    <t>*  May be taxable telecommunication service.</t>
  </si>
  <si>
    <t xml:space="preserve">* W.S. 39-15-103(a)(i)(A) imposes sales tax on all sales of tangible personal property such as non-custom reports, surveys, etc. produced by the service. </t>
  </si>
  <si>
    <t xml:space="preserve">    Data processing services</t>
  </si>
  <si>
    <t>*   Tax does not apply to services when the tangible personal property transferred is incidental to the performance of the service   However, tax does apply to copies of original documents, and to the conversion of customer furnished data when the object of the transaction is obtaining the data in another physical form of recordation.</t>
  </si>
  <si>
    <t>*  Duplicated printed material is taxable based on full charge.</t>
  </si>
  <si>
    <t>* See Remarks for line item #113 above.</t>
  </si>
  <si>
    <t>*  Exempt if service performed for others.</t>
  </si>
  <si>
    <t xml:space="preserve">*  W.S. 39-15-103(a)(i)(A) imposes sales tax on all sales of tangible personal property such as non-custom reports, surveys, etc. produced by the service. </t>
  </si>
  <si>
    <t xml:space="preserve">    Mainframe computer access and processing serv.</t>
  </si>
  <si>
    <t>*  Taxable as rental, lease or license to use tangible property (if mainframe located in Florida).   TPP used in performing these services is taxable to service provider.</t>
  </si>
  <si>
    <t>*Charges for access to canned software on a remote server may be subject to tax.  See 830 CMR 64H.1.3.</t>
  </si>
  <si>
    <t>*  Computer and data processing charges are taxable.</t>
  </si>
  <si>
    <t>*  Taxable if mainframe computer located in the state.</t>
  </si>
  <si>
    <t>*  If fully automated processing service prints, mails, receives and records payments (based on client information) the service is taxable.</t>
  </si>
  <si>
    <t>*  SaaS is taxable if the service being provided is taxable.</t>
  </si>
  <si>
    <t>Computer Online Services:</t>
  </si>
  <si>
    <t xml:space="preserve">    Online Data processing services</t>
  </si>
  <si>
    <t xml:space="preserve">* Taxable pursuant to an Administrative Law Judge Opinion. </t>
  </si>
  <si>
    <t>* These services are generally all exempt from sales and use tax provided no tangible personal property is actually transferred in connection with these services.</t>
  </si>
  <si>
    <t>* All of the purchases in this section are purchases of computer services and subject to the 1% tax rate if the recipient is located in Connecticut.</t>
  </si>
  <si>
    <t>Not taxable if products are downloaded via internet and no TPP is shipped to end user.</t>
  </si>
  <si>
    <t>* Must meet the definition in the statute to be exempt as "data processing;" If it is a charge  to access or use the website and does not meet the definition for data processing, then it is subject to the tax as a communications service. See SC Revenue Ruling #06-8</t>
  </si>
  <si>
    <t xml:space="preserve">    Software - Downloaded </t>
  </si>
  <si>
    <t>*  Downloaded prewritten (canned) software is taxable under the retail classification.</t>
  </si>
  <si>
    <t>Canned Software taxable both state and local sales tax. Customized software exempt.</t>
  </si>
  <si>
    <r>
      <t>*</t>
    </r>
    <r>
      <rPr>
        <sz val="14"/>
        <rFont val="Arial"/>
        <family val="2"/>
        <scheme val="minor"/>
      </rPr>
      <t xml:space="preserve"> KRS 139.010- See prewritten computer software definition and KRS 139.200 retail sales of TPP regardless of method of delivery.</t>
    </r>
  </si>
  <si>
    <t>*Tax applies to canned but not custom software.</t>
  </si>
  <si>
    <t xml:space="preserve">* A software program that is electronically downloaded in its entirety is taxable.  If a portion of a program is electronically delivered, then the incidental to service test will be applied to determine taxability.  See Notice to Taxpayers Regarding Auto-Owners Insurance Company v Dep't of Treasury dated January 6, 2016.  </t>
  </si>
  <si>
    <t>* Downloaded packaged or canned software is taxable.  Downloaded custom software is not taxable.</t>
  </si>
  <si>
    <t>* See Reg. 1-088</t>
  </si>
  <si>
    <r>
      <t xml:space="preserve">* Taxable unless electronically delivered software is for business use pursuant to </t>
    </r>
    <r>
      <rPr>
        <u/>
        <sz val="14"/>
        <rFont val="Arial"/>
        <family val="2"/>
        <scheme val="minor"/>
      </rPr>
      <t>N.J.S.A.</t>
    </r>
    <r>
      <rPr>
        <sz val="14"/>
        <rFont val="Arial"/>
        <family val="2"/>
        <scheme val="minor"/>
      </rPr>
      <t xml:space="preserve"> 54:32B-8.56.</t>
    </r>
  </si>
  <si>
    <t>* Custom software is exempt</t>
  </si>
  <si>
    <t>* Canned programs if downloaded onto purchasers computer.</t>
  </si>
  <si>
    <t>* Prewritten computer software.</t>
  </si>
  <si>
    <t>* custom software is exempt</t>
  </si>
  <si>
    <t>* However, if there is a charge to access a website to use the software (ASP) or if received via tangible means, then such is subject to the tax as a communications service. See SC Revenue Ruling #06-8 and SC Revenue Ruling #12-1.</t>
  </si>
  <si>
    <t xml:space="preserve">* The sale or license of prewritten  computer software is subject to tax.  Prewritten computer software is deemed to be tangible personal property (sec. 77.51(20), Wis. Stats.) (taxable).  </t>
  </si>
  <si>
    <t xml:space="preserve">*  W.S. 39-15-103(a)(i)(A) imposes sales tax on all sales of tangible personal property. </t>
  </si>
  <si>
    <t xml:space="preserve">    Books - Downloaded </t>
  </si>
  <si>
    <t>*  Will become taxable January 1, 2018.</t>
  </si>
  <si>
    <t>* Taxable if the purchaser has a permanent right of use</t>
  </si>
  <si>
    <t>*  If purchased for permanent use.</t>
  </si>
  <si>
    <t>* KRS 139.010- See digital property definition.</t>
  </si>
  <si>
    <t>* Periodicals, magazines, newspapers, blogs, or other news and information products are not taxable.</t>
  </si>
  <si>
    <t>* See Revenue Ruling 01-11-3</t>
  </si>
  <si>
    <t>* Taxable as specified digital property.</t>
  </si>
  <si>
    <t>*January 1, 2014</t>
  </si>
  <si>
    <t>*2.5% local tax rate</t>
  </si>
  <si>
    <t>* Does not include periodicals or newspapers.</t>
  </si>
  <si>
    <t>*  W.S. 39-15-103(a)(i)(A) imposes sales tax on all sales of tangible personal property. W.S. 39-15-103(a)(i)(P) imposes ssales tax on specified digital products when the purchaser has permanent use of it. See WY Dept of Rev Rules, Chap 2, Sec 13(ff) regarding specified digital products.</t>
  </si>
  <si>
    <t xml:space="preserve">    Music - Downloaded </t>
  </si>
  <si>
    <t>* However, if there is a separate charge to listen to it online or via the phone, then such is subject to the tax as a communications service. See SC Revenue Ruling #16-5</t>
  </si>
  <si>
    <t xml:space="preserve">    Movies/Digital Video - Downloaded </t>
  </si>
  <si>
    <t>*  The gross receipts tax applies for the digital video rental or video on demand.  Digital videos for permanent use is not subject to gross receipts or sales tax.</t>
  </si>
  <si>
    <r>
      <t>*</t>
    </r>
    <r>
      <rPr>
        <sz val="14"/>
        <rFont val="Arial"/>
        <family val="2"/>
        <scheme val="minor"/>
      </rPr>
      <t xml:space="preserve"> KRS 139.010- Digital property excludes digital audio visual works.</t>
    </r>
  </si>
  <si>
    <t xml:space="preserve">    Other Electronic Goods - Downloaded </t>
  </si>
  <si>
    <t>*  Depending on the taxpayer's primary business activities, taxable under the retail classification or telecommunications classification.</t>
  </si>
  <si>
    <r>
      <t>*</t>
    </r>
    <r>
      <rPr>
        <sz val="14"/>
        <rFont val="Arial"/>
        <family val="2"/>
        <scheme val="minor"/>
      </rPr>
      <t xml:space="preserve"> KRS 139.010- See digital property definition.</t>
    </r>
  </si>
  <si>
    <t>*  If tangible equivalent would be taxable.</t>
  </si>
  <si>
    <t>* Only greeting cards and online video or electronic games would be taxable when transferred electronically.</t>
  </si>
  <si>
    <t>* Exempt unless digital good is music, ringtones, movies, books, audio and video works or similar product.</t>
  </si>
  <si>
    <t>*See G.S. 105-164.4(a)(6b).</t>
  </si>
  <si>
    <t>* Provided it is not software.  Apps are considered to be software.</t>
  </si>
  <si>
    <t>*Sales of digital photographs for advertising purposes are taxable.</t>
  </si>
  <si>
    <t>*download of ringtones subject to 6% sales and use tax</t>
  </si>
  <si>
    <t>*Specified digital goods (sec. 77.51(17x), Wis. Stats.) and additional digital goods (other than prewritten computer software.) The sale of specified digital goods or additional digital goods is exempt if the sale of such goods sold in a tangible form is exempt.</t>
  </si>
  <si>
    <r>
      <t xml:space="preserve">    Streaming Music/Audio Services </t>
    </r>
    <r>
      <rPr>
        <sz val="10"/>
        <color indexed="10"/>
        <rFont val="Verdana"/>
        <family val="2"/>
      </rPr>
      <t>new</t>
    </r>
  </si>
  <si>
    <t>* Under review</t>
  </si>
  <si>
    <t>*  Under review</t>
  </si>
  <si>
    <t>* 3% Excise Tax on multichannel video programming, 2.4% gross revenues tax on provider of multichannel video programming, up to 3% UGRLT (KRS 136.604, 136.616, 136.602, 160.613). Satellite Radio is not subject to UGRLT.</t>
  </si>
  <si>
    <t>*Exempt provided that it is only accessed, and not delivered electronically pursuant to N.J.S.A. 54:32B-8.56.</t>
  </si>
  <si>
    <t>*G.S. 105-164.4(a)(6a) - satellite digital audio radio service; G.S. 105-164.4(a)(6b) - digital property</t>
  </si>
  <si>
    <t>*See SC Revenue Ruling #16-5</t>
  </si>
  <si>
    <t>* Taxed based on customers address</t>
  </si>
  <si>
    <t>* Satellite radio services are subject to the Communications Salse and Use Tax at the rate of 5%.</t>
  </si>
  <si>
    <t>*  Live educational seminars are not taxable.</t>
  </si>
  <si>
    <t>*  Not taxable so long as the purchaser does not retain permanent use of the content.</t>
  </si>
  <si>
    <r>
      <t xml:space="preserve">    Streaming Video Services </t>
    </r>
    <r>
      <rPr>
        <sz val="10"/>
        <color indexed="10"/>
        <rFont val="Verdana"/>
        <family val="2"/>
      </rPr>
      <t>new</t>
    </r>
  </si>
  <si>
    <r>
      <t xml:space="preserve">* 3% Excise Tax on multichannel video programming, 2.4% gross revenues tax on provider of multichannel video programming, up to 3% UGRLT </t>
    </r>
    <r>
      <rPr>
        <b/>
        <sz val="14"/>
        <rFont val="Arial"/>
        <family val="2"/>
        <scheme val="minor"/>
      </rPr>
      <t>unless the streaming services are not comparable to programming provided by a television broadcast station</t>
    </r>
    <r>
      <rPr>
        <sz val="14"/>
        <rFont val="Arial"/>
        <family val="2"/>
        <scheme val="minor"/>
      </rPr>
      <t xml:space="preserve"> (KRS 136.604, 136.616, 136.602, 160.613)</t>
    </r>
  </si>
  <si>
    <t>4.75/7</t>
  </si>
  <si>
    <t>*G.S. 105-164.4(a)((6b) - digital property; G.S. 105-164.4(a)(6) if part of video programming services.</t>
  </si>
  <si>
    <t>Automotive Services</t>
  </si>
  <si>
    <t xml:space="preserve">   Automotive washing and waxing.</t>
  </si>
  <si>
    <t>*  Car washing taxable.  Coin operated wash exempt.</t>
  </si>
  <si>
    <t>*  It is subject to the sales tax of 5.75%</t>
  </si>
  <si>
    <t xml:space="preserve">*   Washing only is an exempt service.  Applying wax makes entire charge for service taxable. </t>
  </si>
  <si>
    <t>*  Waxing subject to sales tax.</t>
  </si>
  <si>
    <t>*  Materials only taxable.</t>
  </si>
  <si>
    <t>*  Self service and coin operated self service car washing is exempt.</t>
  </si>
  <si>
    <t>* See Reg. 1-099</t>
  </si>
  <si>
    <t>*  Certain coin-operated car washes are exempt</t>
  </si>
  <si>
    <t>*See G.S. 105-164.13(61a) - self service car washes.</t>
  </si>
  <si>
    <t>*  Washing, waxing, polishing and painting motor vehicles taxable.  Coin operated car washes exempt.</t>
  </si>
  <si>
    <t>* Car washing taxable, except coin operated car wash exempt.</t>
  </si>
  <si>
    <t>*   W.S. 39-15-103(a)(i)(J) imposes tax on services that repair, alter or improve  tangible personal property when performed by a third party. Not taxable when performed by an automated coin-operated car wash. See WY Dept of Rev Rules, Chap 2, Sec 13(h) regarding detailing.</t>
  </si>
  <si>
    <t xml:space="preserve">   Automotive road service and towing services</t>
  </si>
  <si>
    <t xml:space="preserve">*  Including wrecker services. Does not include the transportation of motor vehicles to or from a new or used car dealership for the purpose of placing the vehicles into inventory for sale or returning the vehicles to an automobile auction for sale, as that would remain exempt. </t>
  </si>
  <si>
    <t>*  Towing is taxable under transporting.  Generally exempt, except cities may opt to tax.</t>
  </si>
  <si>
    <t>*  Repair taxable; towing exempt.</t>
  </si>
  <si>
    <t>*  Towing taxable if performed in conjunction with repair services.</t>
  </si>
  <si>
    <t>*  Repairs reformed roadside subject to sales tax.</t>
  </si>
  <si>
    <r>
      <t xml:space="preserve">* Taxable if related to automotive repair </t>
    </r>
    <r>
      <rPr>
        <sz val="14"/>
        <color rgb="FFFF0000"/>
        <rFont val="Arial"/>
        <family val="2"/>
        <scheme val="minor"/>
      </rPr>
      <t>or taxable storage</t>
    </r>
  </si>
  <si>
    <t>*  Repairs are taxable; towing is exempt.</t>
  </si>
  <si>
    <t>Automotive road service is taxable if part of sales price of taxable repair, maintenance, or installation services or part of the sales price of tangible personal property.  G.S. 105-164.13(67) provides an exemption for towing services, provided the charge is separately stated on the invoice or other documentation provided to the purchaser at the time of the sale.</t>
  </si>
  <si>
    <t>* Roadside service (i.e., unlocking doors, jump starts) are exempt.</t>
  </si>
  <si>
    <t>*  Separately stated towing charges are exempt.</t>
  </si>
  <si>
    <t>* Towing taxable if performing in anticipation of repair. Towing services without repair are not taxable.</t>
  </si>
  <si>
    <t>*  Towing is exempt if not in conjunction with a repair.</t>
  </si>
  <si>
    <t>*  Towing services exempt per W.S. 39-15-105(a)(ii)(A) and W.S. 39-15-105(a)(viii)(A)(II). Roadside assistance taxable. W.S. 39-15-103(a)(i)(J) imposes tax on services that repair, alter or improve  tangible personal property.</t>
  </si>
  <si>
    <t xml:space="preserve">   Auto service. except repairs, incl. painting &amp; lube</t>
  </si>
  <si>
    <t>*  Maintenance and lubrication treated as repair.</t>
  </si>
  <si>
    <t>*  Exempt, assuming an inconsequential transfer of tangible personal property in performing the service.</t>
  </si>
  <si>
    <t>* Tax applies to sales of tangible personal property transferred to a customer as part of the service.  The provider must separately state the charges for parts and materials and tax those charges.</t>
  </si>
  <si>
    <t>*  Parts and labor taxable if any parts are used.</t>
  </si>
  <si>
    <t>*Repair services must be separately stated from the taxable parts used in the repair, 103 KAR 27:230.</t>
  </si>
  <si>
    <t>* Charges for parts, paint, motor oil, lubricants, shop supplies, and other TPP sold to customer are taxable.  Repair labor is not taxable.</t>
  </si>
  <si>
    <t>* See Reg. 1-099, motor vehicle painting is taxable</t>
  </si>
  <si>
    <t>* plus local taxes, on the the shop supplies.</t>
  </si>
  <si>
    <t>*  Repairs are taxable.</t>
  </si>
  <si>
    <t>* See SC Regulation 117-306.2</t>
  </si>
  <si>
    <t>* Only separately-stated material charges are taxable.</t>
  </si>
  <si>
    <t>*  W.S. 39-15-103(a)(i)(J) imposes tax on services that repair, alter or improve  tangible personal property. See WY Dept of Rev Rules, Chap 2, Sec 13(m) regarding garages and service stations.</t>
  </si>
  <si>
    <t xml:space="preserve">   Parking lots &amp; garages</t>
  </si>
  <si>
    <t xml:space="preserve">*  Exempt if person does not have the right to a specific space for a specific period of time. </t>
  </si>
  <si>
    <t>*  Metered space, lots less than 30 spaces, seasonal parking by exempt entity, employer provided parking in lot leased for 10 or more years, valet parking at airport and certain municipally operated facilities are exempt.</t>
  </si>
  <si>
    <t>*  Tax rate applies to gross receipts in excess of $100,000 per month.  Annual license fee of $75 plus $35 for each additional lot or garage.</t>
  </si>
  <si>
    <t>*  The rate has changed to 18%</t>
  </si>
  <si>
    <t>*  Valet services are also taxed at 4%.</t>
  </si>
  <si>
    <t>* Local Tax</t>
  </si>
  <si>
    <t>*  Subject to Airport Parking Tax of 30% at Metropolitan Airport in Detroit.</t>
  </si>
  <si>
    <t xml:space="preserve">* Nonresidential parking services (except metered parking), including valet parking and fees paid for the use of lots or ramps, whether paid for on a contract or a per-use basis, are taxable. Parking services provided to occupants of a residence who park on the same premises as their primary residence are not taxable. </t>
  </si>
  <si>
    <t>*  Receipts of 501(c)(3) organizations exempt.</t>
  </si>
  <si>
    <t xml:space="preserve">* Exempt if sold by institution of the state system of higher education. </t>
  </si>
  <si>
    <t>* Self-storage is taxable.</t>
  </si>
  <si>
    <t>* Lots operated by government entities exempt.</t>
  </si>
  <si>
    <t>* Parking and storage services are taxable.</t>
  </si>
  <si>
    <t xml:space="preserve">   Automotive rustproofing &amp; undercoating.</t>
  </si>
  <si>
    <t>* If applied to a new car, tax applies to entire charge.  If the car is used, tax applies to separately stated charges for parts and materials furnished.</t>
  </si>
  <si>
    <t>*  Taxable if services are associated with sale of TPP.</t>
  </si>
  <si>
    <t>*  Undercoating furnished with new car is part of price and taxable.</t>
  </si>
  <si>
    <t>*  Rustproofing and undercoating taxable if performed by the seller of the vehicle as part of the sale.</t>
  </si>
  <si>
    <t>* Taxable if sold in conjunction with the sales of vehicle.</t>
  </si>
  <si>
    <t>*   W.S. 39-15-103(a)(i)(J) imposes tax on services that repair, alter or improve  tangible personal property.</t>
  </si>
  <si>
    <t>Admissions &amp; Amusements</t>
  </si>
  <si>
    <t xml:space="preserve">      Pari-mutuel racing events.</t>
  </si>
  <si>
    <t>* Certain wagers taxed under Pari-mutuel pool tax</t>
  </si>
  <si>
    <t>*  Additional 2% tourism tax in addition to 6.5% sales tax.</t>
  </si>
  <si>
    <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</si>
  <si>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Movies, burlesque shows, sporting events, circuses, etc. are taxable at a rate of 5.75%; live performances of the legitimate theatre arts, exhibitions of paintings, sculpture, photography, etc. are exempt. Also, charges for admission to trade shows, boat shows, home shows, and dog shows are taxable.</t>
  </si>
  <si>
    <t>*  Admissions taxable - no tax on wagers.</t>
  </si>
  <si>
    <t>*  $.20 per person on paid admission</t>
  </si>
  <si>
    <t>*  Admission tax of $0.15 per person, KRS 138.480.</t>
  </si>
  <si>
    <t>*  Exempt from sales tax in lieu of taxes paid under other statutes.</t>
  </si>
  <si>
    <t>*  Counties, municipalities, and the Maryland Stadium Authority may impose an admissions tax.  Admissions to events sponsored by 501(c)(3) or fraternal organization or volunteer fire company exempt.  Maximum permitted rate shown.</t>
  </si>
  <si>
    <t>*  Gross betting receipts.</t>
  </si>
  <si>
    <t>*  Live Entertainment Tax applies to the admission price</t>
  </si>
  <si>
    <t>*  Prior to July 1, 1989, pari-mutuel admissions were subject to separate tax.  Exempt if horse racing admissions.</t>
  </si>
  <si>
    <t>*  Local option admission tax; locally administered and collected.  May apply anywhere admission is charged to enter, except high school and college sporting events.</t>
  </si>
  <si>
    <t>*  4.5% sales tax plus 10% admissions tax.</t>
  </si>
  <si>
    <t>*  Subject to separate pari-mutual and admissions tax.</t>
  </si>
  <si>
    <t>*  There is a separate tax under a different chapter of law for admissions to racing events at which pari-mutuel betting is permitted (See RIGL § 41-4-3)</t>
  </si>
  <si>
    <t>*  Admissions and services rendered for the track or animal owner are taxable.</t>
  </si>
  <si>
    <t>*  Parimutuel betting receipts subject to parimutuel tax.</t>
  </si>
  <si>
    <t>* Admissions to facilities are taxable.</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</si>
  <si>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</si>
  <si>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xml:space="preserve">      Amusement park admission &amp; rides</t>
  </si>
  <si>
    <t xml:space="preserve">*  Additional 2% tourism tax in addition to 6.5% sales tax.  Gate admission to fees to any rodeo are exempt if the admission fee is used exclusively for improvement, maintenance or operation of the rodeo. </t>
  </si>
  <si>
    <t>*  Taxable under the amusement classification.</t>
  </si>
  <si>
    <t>*  Admission charges subject to admissions tax except for instruction charges, charges under $1 or movie admission under $5 and admission to events sponsored by nonprofit organizations.  Admission to any carnival or amusement ride is exempt.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</si>
  <si>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Movies, burlesque shows, sporting events, circuses, etc. are taxable at a rate of 5.75%; live performances of the legitimate theatre arts, exhibitions of paintings, sculpture, photography, etc. are exempt.</t>
  </si>
  <si>
    <t>*  Amusement park admissions taxable. Amusement park ride charges not taxable, KY Regulation 103 KAR 28:010</t>
  </si>
  <si>
    <t>*  Mechanical amusement device tax cannot be substituted for sales tax.</t>
  </si>
  <si>
    <t>* Live entertainment Tax applies only if there is live entertainment provided</t>
  </si>
  <si>
    <t>*  Park admission is taxable. Charges for individual rides are exempt.</t>
  </si>
  <si>
    <t>*Provided the amusement park has live performances or other live events of any kind, the purpose of which is for entertainment.  Fees paid to ride amusement rides at an amusement park are generally not taxable.</t>
  </si>
  <si>
    <t>*  Local municipalities may impose amusement taxes.</t>
  </si>
  <si>
    <t>* Subject to 5% Admissions tax.</t>
  </si>
  <si>
    <t>*  Also subject to 1.5% Tourism Tax</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</si>
  <si>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</si>
  <si>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xml:space="preserve">      Billiard parlors</t>
  </si>
  <si>
    <t>*  Billiards is subject to sales tax of 5.75% effective October 1, 2014</t>
  </si>
  <si>
    <t>*  Except coin operated tables.</t>
  </si>
  <si>
    <t>* Exempt if coin-operated.</t>
  </si>
  <si>
    <t>*  Amusement charge.</t>
  </si>
  <si>
    <t xml:space="preserve">      Bowling alleys</t>
  </si>
  <si>
    <t>*  Bowling is subject to sales tax of 5.75% effective October 1, 2014</t>
  </si>
  <si>
    <t>*  The rental of bowling shoes is taxable.</t>
  </si>
  <si>
    <t>*  Local option admission tax; locally administered and collected.  May apply anywhere admission is charged to enter, except high school and college sporting events.  Shoe and locker rental is taxable.</t>
  </si>
  <si>
    <t>*Subject to 5% Admissions tax.</t>
  </si>
  <si>
    <t xml:space="preserve">*  Lane fee not taxable. Shoe rental taxable. W.S. 39-15-103(a)(i)(B) imposes sales tax on the gross rental paid for the lease or contract transferring possession of tangible perosnal property if the transfer of possession would be taxable if a sale occurred. </t>
  </si>
  <si>
    <t xml:space="preserve">      Cable TV services</t>
  </si>
  <si>
    <t>*  Many cities impose their privilege taxes on cable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</si>
  <si>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Certified competitive video services are taxable as cable TV services.</t>
  </si>
  <si>
    <t>*  Taxed under Gross Receipts Tax effective 7/1/92.</t>
  </si>
  <si>
    <t>*  Control Box rental is taxable.</t>
  </si>
  <si>
    <t>* 3% Excise Tax on multichannel video programming, 2.4% gross revenues tax on provider of multichannel video programming, 3% URLT (KRS 136.604, 136.616, 136.602, 160.613)</t>
  </si>
  <si>
    <t>*  Pay-per-view only.  Sales and Use tax.</t>
  </si>
  <si>
    <t>* Equipment rental by viewer is subject to the general state and local sales tax.</t>
  </si>
  <si>
    <t>*  Local franchise taxes apply to cable.  Separately charged equipment rental is taxable under sales tax.</t>
  </si>
  <si>
    <t>*  Some cities and counties levy a franchise fee on cable services.  The percentage of the fee varies with each city and county.</t>
  </si>
  <si>
    <t>*  Premium cable television services are subject to sales tax.</t>
  </si>
  <si>
    <t>*  Community antenna television, subscription television and cable television services are taxable.</t>
  </si>
  <si>
    <t>* For examples of taxable and non-taxable communication services, see SC Revenue Ruling #06-8.</t>
  </si>
  <si>
    <t xml:space="preserve">* Sales by video programming service provider (authorized cable and wireless provider and broadband provider), the first $15 of the monthly charge is exempt.   Charges in excess of $15 but less than $27.50 are taxable at 8.25% state rate, 0% local rate.  Charges in excess of $27.50 are taxable at a 7% state rate plus the applicable local rate.  </t>
  </si>
  <si>
    <t>*  Multi-Channel Video or Audio Service Tax.</t>
  </si>
  <si>
    <t>* Cable television services are subject to the Communications Salse and Use Tax at the rate of 5%.</t>
  </si>
  <si>
    <t xml:space="preserve">      Direct Satellite TV</t>
  </si>
  <si>
    <t>*  Many cities impose their privilege taxes on satellite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</si>
  <si>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Subject to gross receipts tax (10%)</t>
  </si>
  <si>
    <t>* State tax only - no local sales tax</t>
  </si>
  <si>
    <r>
      <t xml:space="preserve">* 3% Excise Tax on multichannel video programming, 2.4% gross revenues tax on provider of multichannel video programming, </t>
    </r>
    <r>
      <rPr>
        <sz val="14"/>
        <rFont val="Arial"/>
        <family val="2"/>
        <scheme val="minor"/>
      </rPr>
      <t>(KRS 136.604, 136.616, 136.602).</t>
    </r>
  </si>
  <si>
    <t>* Pay per view is taxable at 6%.</t>
  </si>
  <si>
    <t>* Federal law exempts direct-to-home satellite services from local sales tax.</t>
  </si>
  <si>
    <t>* Treated the same as a charge for subscription for cable TV service.</t>
  </si>
  <si>
    <t>* Federal government preempts the imposition of local option taxes.</t>
  </si>
  <si>
    <t>*  Inclusive of satellite radio.</t>
  </si>
  <si>
    <t xml:space="preserve"> For examples of taxable and non-taxable communication services, see SC Revenue Ruling #06-8.</t>
  </si>
  <si>
    <t>* Exempt from local tax.</t>
  </si>
  <si>
    <t>* Satellite television services are subject to the Communications Salse and Use Tax at the rate of 5%.</t>
  </si>
  <si>
    <t>*  The seller is not required to collect and remit local taxes; however, the purchaser is still liable for any applicable local use tax.</t>
  </si>
  <si>
    <t>711190/711310</t>
  </si>
  <si>
    <t xml:space="preserve">      Circuses and fairs -- admission and games</t>
  </si>
  <si>
    <t>*  Admission to fairs run by government entities exempt.</t>
  </si>
  <si>
    <t>*  Outdoor music fees promoter = $750 annual license; Circus exhibitor = $750 annual license; Show person = $375 annual license.</t>
  </si>
  <si>
    <t>*  Admissions to county, state and regional agricultural fairs are exempt.</t>
  </si>
  <si>
    <t xml:space="preserve">* Admissions to, and games sold by, a state, county, city, district or fair society are exempt. </t>
  </si>
  <si>
    <t>*First $50,000 in sales of admissions per calendar year to county fairs held by a non-profit county fair board. Charges specifically to play games at circuses and fairs are exempt.</t>
  </si>
  <si>
    <t>*  Counties, municipalities, and the Maryland Stadium Authority may impose an admissions tax.  Admissions to events sponsored by 501(c)(3) or fraternal organization or volunteer fire company exempt.</t>
  </si>
  <si>
    <t>*  Admissions to county, state or community fairs exempt.</t>
  </si>
  <si>
    <t>* Mechanical amusement device tax cannot be substituted for sales tax.</t>
  </si>
  <si>
    <t>* Admissions and ride tickets only.</t>
  </si>
  <si>
    <t>*Amounts paid to play or participate in games are not taxable.</t>
  </si>
  <si>
    <t>* Rides, shows and exhibits of circuses and community fairs are subject to a 5% Admissions tax.</t>
  </si>
  <si>
    <t>*  Admissions to the grounds of state, county, district, regional and local fairs are exempt.</t>
  </si>
  <si>
    <t>*Admissions and games at county and agricultural fairs are exempt.</t>
  </si>
  <si>
    <t>*  Admissions to county fairs are not taxable.</t>
  </si>
  <si>
    <t xml:space="preserve">      Coin operated video games</t>
  </si>
  <si>
    <t>*  Tax rate applies to gross receipts in excess of $100,000 per month.  Plus $75 decal for each machine.</t>
  </si>
  <si>
    <t>*Taxable at 4%.</t>
  </si>
  <si>
    <t>*  Permit required</t>
  </si>
  <si>
    <t>*Seller must pay tax on its purchase of the game machines</t>
  </si>
  <si>
    <t>*  A 15% tax on video poker.</t>
  </si>
  <si>
    <t>* Mechanical amusement device tax is in lieu of sales tax.</t>
  </si>
  <si>
    <t>*  Coin-operated devices use annual decals in the amount of $50 in lieu of sales tax.</t>
  </si>
  <si>
    <t>*  Annual amusement device excise tax of $125-$250 is imposed for operating a video lottery game terminal.</t>
  </si>
  <si>
    <t>*  Subject to 4.5% amusement device tax, not sales tax</t>
  </si>
  <si>
    <t>* Annual occupation tax levied at $60 per machine.</t>
  </si>
  <si>
    <t xml:space="preserve">      Admission to school and college sports events</t>
  </si>
  <si>
    <t>*  Although generally nontaxable, intercollegiate football contest admissions are exempt if they are: (a) operated by a 501(c)(3) organization and no part of the org's net earnings inures to the benefit of any private shareholder or individual and (b) not held in a multipurpose facility owned or operated by the Arizona Tourism and Sports Authority.</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</si>
  <si>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</si>
  <si>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Exempt if school is nonprofit.</t>
  </si>
  <si>
    <t>*  Admissions to school and college sports events exempt only when student, faculty or inmate talent is utilized.  State University System athletic events are taxable with tax earmarked by each institution for women's athletic program.</t>
  </si>
  <si>
    <t xml:space="preserve">*  Except college university events. </t>
  </si>
  <si>
    <t>* Admissions to athletic events of elementary and secondary educational institutions are exempt. Admissions to other sports events are exempt if the profits are used by or donated to an IRC 501(c)(3) nonprofit entity, a government entity, or a nonprofit private educational insitution, and the entire proceeds are expended for educational, religious, or charitable purposes.</t>
  </si>
  <si>
    <t>*If sold by 501(c )(3) charitable or educational organizations. See KY Regulation 103 KAR 28:010.</t>
  </si>
  <si>
    <t>* For public, nonprofit, or for-profit schools with grades pre-kindergarten through grade 12 and vocational center/career schools sales of tickets or admissions to regular season school games, events and activities are exempt. Beginning July 1, 2017, the sale of tickets to events sponsored by the Minnesota State High School Leauge are also exempt.</t>
  </si>
  <si>
    <t>*  3% when conducted in publicly owned enclosed coliseums and auditoriums, except athletic contests between colleges and universities.  NCAA baseball tournaments exempt.  High school or grammar school events exempt.</t>
  </si>
  <si>
    <t>* See Reg. 1-044.</t>
  </si>
  <si>
    <t>*  Taxable unless for secondary and primary school events.</t>
  </si>
  <si>
    <t xml:space="preserve">*  Taxable unless event presented by 501(c)(3) organization. Receipts from admissions to a non-athletic special events held at post-secondary educational institutions within fifty miles of the New Mexico border are deductible if the venue accommodates at lest 10,500 persons. </t>
  </si>
  <si>
    <t>*  Admission to an athletic game or exhibition is exempt where the proceeds go exclusively to the benefit of an elementary or secondary school.</t>
  </si>
  <si>
    <t>*G.S. 105-164.4G(f) provides and exemption for "[a]n event that is sponsored by an elementary or secondary school. For purposes of this exemption, the term "school" is an entity regulated under Chapter 115C of the General Statutes."</t>
  </si>
  <si>
    <t>*  K-12 schools and collegiate championship events are exempt .</t>
  </si>
  <si>
    <t>* College sports events subject to 5% Admissions tax.</t>
  </si>
  <si>
    <t>* Admission to public and private school (grades K-12) events exempt; admission to college and university events are taxable.</t>
  </si>
  <si>
    <t>*  B&amp;O tax paid by the firm.  Generally exempt from local admissions taxes.</t>
  </si>
  <si>
    <t>*  Activities sponsored by elementary and secondary schools are exempt.</t>
  </si>
  <si>
    <t>*  Elementary and secondary school activities are exempt, if proceeds for educational, religious and charitable purposes.</t>
  </si>
  <si>
    <t>713910/40</t>
  </si>
  <si>
    <t xml:space="preserve">      Membership fees in private clubs.</t>
  </si>
  <si>
    <t>* 6.5% on private club membership fees if private club has ABC permit. The tax also applies if the membership fee allows access to a place of amusement, or to athletic, entertainment, or recreation events.</t>
  </si>
  <si>
    <t xml:space="preserve">*  Dues and initiation fees are taxable, except for annual dues of $100 or less, or dues for club sponsored by nonprofit organization, club operated under lodge system or fraternal organization or lawn bowling clubs </t>
  </si>
  <si>
    <t>*  Taxable at .384% if operated for profit.</t>
  </si>
  <si>
    <t>*  Taxable if the club has recreational facilities.</t>
  </si>
  <si>
    <t>*  Taxable if fee for recreation.</t>
  </si>
  <si>
    <t>* Golf and country club memberships are taxable. Memberships for commercial recreation are taxable.</t>
  </si>
  <si>
    <t>*  Purchases of stock not subject to sales tax.</t>
  </si>
  <si>
    <t>* Memberships in clubs or organizations that provide sports or athletic facilities for their members are taxable.</t>
  </si>
  <si>
    <t>*Exempt if member's fees are for equity interest in the club rather than for recreation activities.</t>
  </si>
  <si>
    <t>* Taxable if charge is in the nature of initiation fees, membership fees, or dues for access to or use of the facilities of a health and fitness, athletic, sporting, or shopping club or organization in NJ.</t>
  </si>
  <si>
    <t>Private the fee is for membership only and not part of the gross receipts paid for admission to an entertainment activity.</t>
  </si>
  <si>
    <t>* Portion attributable to admission for amusement or entertainment is taxable.</t>
  </si>
  <si>
    <t>*  Local option admission tax; locally administered and collected.  May apply anywhere admission is charged to enter, except high school and college sporting events.  Recreation and sports club services and physical fitness exempt.</t>
  </si>
  <si>
    <t>* Exempt if a nonprofit club.</t>
  </si>
  <si>
    <t>* If recreational or amusement, includes country clubs.</t>
  </si>
  <si>
    <t>*  If admission to amusement location like a health club or fishing club.</t>
  </si>
  <si>
    <t xml:space="preserve">*   Bonafide membership fees for private clubs exempt. </t>
  </si>
  <si>
    <t>*  Country club dues is subject to sales tax, except the portion (bona-fide dues) entitling individuals to continued membership.  Forty percent of the memberships dues paid to country clubs is subject to sales tax (See Admin Notice 91-16).</t>
  </si>
  <si>
    <t xml:space="preserve">*  Sporting and recreation clubs taxed if primary purpose is amusement, recreation, entertainment or athletic.  Social clubs exempt.  </t>
  </si>
  <si>
    <t xml:space="preserve">      Admission to cultural events</t>
  </si>
  <si>
    <t>*  Exempt under the amusement classification if it is: (a) an activity/project of a bona fide religious or educational institution; (b) a musical, dramatic, or dance group or a botanical garden, museum, or zoo that is a 501(c)(3) organization and no part of the org's net earnings inures to the benefit of any private shareholder/individual; or (c) an activity or event of a 501(c)(6) organization if the organization produces, organizes, or promotes cultural/civic related festivals or events and no part of the org's net earnings inures to the benefit of any private shareholder/individual.</t>
  </si>
  <si>
    <t>*  Exempt if by a nonprofit organization or at certain listed venues. The surcharge is in addition to the state admissions tax, and is imposed without regard to the exemptions from the state admissions tax</t>
  </si>
  <si>
    <t>*  Event made by a semipublic institution not regularly engaged in such events shall not be considered a retail sale or sale at retail.</t>
  </si>
  <si>
    <t>*  An exemption for admission to little theatres and nonprofit musical organizations is suspended until July 1, 2009.</t>
  </si>
  <si>
    <t>*  Jurisdiction may exempt concert or theatrical event.  Many counties exempt these events.</t>
  </si>
  <si>
    <t>* Admissions to artistic events sold by qualifying non-profit organizations and municipal arts boards are exempt.</t>
  </si>
  <si>
    <t xml:space="preserve">*  Admissions charged by nonprofit religious, charitable or educational organizations, nonprofit civic clubs or fraternal organizations are exempt.   Cultural events sponsored by local music or charity associations exempt. </t>
  </si>
  <si>
    <t xml:space="preserve">*  Live Entertainment Tax applies, </t>
  </si>
  <si>
    <t>*  Taxable unless event presented by 501(c)(3) organization.</t>
  </si>
  <si>
    <r>
      <t>* Exempt if provided by non-profit entity</t>
    </r>
    <r>
      <rPr>
        <b/>
        <sz val="14"/>
        <color rgb="FFFF0000"/>
        <rFont val="Arial"/>
        <family val="2"/>
        <scheme val="minor"/>
      </rPr>
      <t>.</t>
    </r>
  </si>
  <si>
    <t>*  B&amp;O tax paid by the firm plus a local admissions tax of 5%.</t>
  </si>
  <si>
    <t xml:space="preserve">      Pinball and other mechanical amusements</t>
  </si>
  <si>
    <t>*  Tax rate applies to gross receipts in excess of $100,000 per month.  Decal $75 per machine.</t>
  </si>
  <si>
    <t>* Permit required.</t>
  </si>
  <si>
    <t>* local tax</t>
  </si>
  <si>
    <t>* Exempt if tax is paid on the purchase of the machine.</t>
  </si>
  <si>
    <t>*  Slot machines and other gambling devices subject to taxation under gaming statutes.</t>
  </si>
  <si>
    <t>*  If coin operated they are subject to 4.5% amusement device tax, not sales tax</t>
  </si>
  <si>
    <t>*Subject to the Coin-Operated Amusement Machine Tax</t>
  </si>
  <si>
    <t>* Coin-operated exempt but subject to annual occupation tax levied at $60 per machine.</t>
  </si>
  <si>
    <t>*  Assisted amusement device are taxable.</t>
  </si>
  <si>
    <t xml:space="preserve">* B&amp;O tax paid by the firm.  </t>
  </si>
  <si>
    <t xml:space="preserve">      Admission to professional sports events</t>
  </si>
  <si>
    <t>*  Taxable under the amusement classification.  Exhibition events sponsored/conducted/operated by a 501(c)(3), 501(c)(4), or 501(c)(6) organization associated with a major league baseball team or national touring professional golf association are exempt if no part of the org's net earnings inures to the benefit of any private shareholder or individual.  Also, rodeos sponsored/conducted/operated by a 501(c)(3), 501(c)(4), 501(c)(7), or 501(c)(8) organization are exempt if no part of the org's net earnings inures to the benefit of any private shareholder or individual.</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</si>
  <si>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</si>
  <si>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Certain championship, all-star, and pro bowl type games of the NFL, MLB, MLS, NBA and NHL are exempt.</t>
  </si>
  <si>
    <t>* Local tax</t>
  </si>
  <si>
    <t>*  5% Admissions Tax on certain venues within Marion County</t>
  </si>
  <si>
    <t>*  Excludes admission charges to athletic events sponsored by schools, colleges, and universities.</t>
  </si>
  <si>
    <t>* Admission charges to the Super Bowl and related events sponsored by the NFL are exempt.</t>
  </si>
  <si>
    <t>*  3% when conducted in publicly owned enclosed coliseums and auditoriums.  Baseball operated under professional league franchise is exempt.  Professional Golf Association tournaments exempt.</t>
  </si>
  <si>
    <t xml:space="preserve">* Taxable unless a boxing match or other combative sport contest or exhibition if taxed under any other law of this State.  </t>
  </si>
  <si>
    <t xml:space="preserve">*  Taxable unless event presented by 501(c)(3) organization. Receipts from ticket sales for a professional boxing, wrestling or martial arts contest are deductible. </t>
  </si>
  <si>
    <t xml:space="preserve">* Exempt for events involving ice hockey, baseball, basketball, football, arena football or soccer. </t>
  </si>
  <si>
    <t>* Admission to live boxing, wrestling and mixed martial arts events are subject to a 5% tax.</t>
  </si>
  <si>
    <t xml:space="preserve">      Rental of films and tapes by theaters</t>
  </si>
  <si>
    <t>*  Tax break down as follows: Lessors rate of 0.2987% on gross receipts in excess of $150,000 per quarter; Lessees rate of 1.99% with no monthly/ quarterly exemption.</t>
  </si>
  <si>
    <t>* Theater admission are taxable.</t>
  </si>
  <si>
    <t>*  Considered rental activity.</t>
  </si>
  <si>
    <t>*  Exempt if admission is charged.</t>
  </si>
  <si>
    <t>*  Rental of video tapes and motion pictures is taxable except if rentee charges admission for viewing or broadcasts for home viewing.</t>
  </si>
  <si>
    <t>*  Exempt if tax collected on admissions paid by customers.</t>
  </si>
  <si>
    <t>*  Joint venture agreements between movie theaters and film distrubutors are exempt from sales tax.</t>
  </si>
  <si>
    <t xml:space="preserve">*  Copyrighted material is exempt.  Film is taxable to distributors if in public domain.  See MCL 205.54a(1)(f). </t>
  </si>
  <si>
    <t>*  Deductible if rented for subsequent paid admission.</t>
  </si>
  <si>
    <t>*  Exempt if tax paid on admission.</t>
  </si>
  <si>
    <t>*  Only rentals to theaters, television and radio stations exempt.  All other rentals taxable.</t>
  </si>
  <si>
    <t>*  Assumes this means rentals to theaters.</t>
  </si>
  <si>
    <t>*  Licensed vendors may rent films without tax when admissions will be charged per W.S. 39-15-105(a)(iii)(F) otherwise they are taxable to the theater. See WY Dept of Rev Rules, Chap 2, Sec 13(bb).</t>
  </si>
  <si>
    <t xml:space="preserve">      Rental of DVD/tapes for home viewing 
        [includes delivery by mail or vending machine]</t>
  </si>
  <si>
    <t>*Subject to Rental tax.</t>
  </si>
  <si>
    <t>*  Taxable.</t>
  </si>
  <si>
    <t>*  Tax break down as follows: Lessors rate of 0.288% on gross receipts in excess of $150,000 per quarter; Lessees rate of 1.99% with no monthly/ quarterly exemption.</t>
  </si>
  <si>
    <t>Subject to Service Provider Tax (as is rental of video equipment and video games).</t>
  </si>
  <si>
    <t>*  Sales and use tax.</t>
  </si>
  <si>
    <t>*  Rentals of tangible property are taxable unless the lessor is registered and has exercised the option to pay 6% tax on cost at the time of acquisition.</t>
  </si>
  <si>
    <t>*  Exempt if tax paid at time of purchase by lessor.</t>
  </si>
  <si>
    <t>*  Renter may elect to pay on cost of tape.</t>
  </si>
  <si>
    <t xml:space="preserve">*   W.S. 39-15-103(a)(i)(B) imposes sales tax on the gross rental paid for the lease or contract transferring possession of tangible perosnal property if the transfer of possession would be taxable if a sale occurred. </t>
  </si>
  <si>
    <t>Professional Services</t>
  </si>
  <si>
    <t xml:space="preserve">     Accounting and bookkeeping</t>
  </si>
  <si>
    <t>*  TPP used in performing  these services may be taxable to service provider.</t>
  </si>
  <si>
    <t>See SC Regulation 117-308</t>
  </si>
  <si>
    <t>*  Professional services are exempt in West Virginia from sales tax; however, "professional" is viewed as a word of art, being limited to the common law professions of theology, medicine and law.  If performed by non-CPA taxable @ 6%.</t>
  </si>
  <si>
    <t xml:space="preserve">     Architects</t>
  </si>
  <si>
    <t>* Architects are considered contractors and not service providers.</t>
  </si>
  <si>
    <t>See Remarks for line item #144</t>
  </si>
  <si>
    <t>*  Landscape planning and design is taxable.</t>
  </si>
  <si>
    <t xml:space="preserve">     Attorneys</t>
  </si>
  <si>
    <t>See Remarks for line item #145</t>
  </si>
  <si>
    <t>*  Professional services are exempt in West Virginia from sales tax; however, "professional" is viewed as a word of art, being limited to the common law professions of theology, medicine and law.</t>
  </si>
  <si>
    <t xml:space="preserve">     Dentists</t>
  </si>
  <si>
    <t xml:space="preserve">* May be deductible if the payment is made by a health care insurer for commercial contract services. </t>
  </si>
  <si>
    <t>See Remarks for line item #146</t>
  </si>
  <si>
    <t xml:space="preserve">     Engineers</t>
  </si>
  <si>
    <t>*  Architects, professional engineers, land surveyors and landscape architects are considered contractors and not service providers.</t>
  </si>
  <si>
    <t>See Remarks for line item #147</t>
  </si>
  <si>
    <t xml:space="preserve">     Land surveying</t>
  </si>
  <si>
    <t>See Remarks for line item #148</t>
  </si>
  <si>
    <t xml:space="preserve">*  Professional services are exempt in West Virginia from sales tax.  Sales of registered professional engineers performing surveys are exempt. </t>
  </si>
  <si>
    <t xml:space="preserve">     Medical test laboratories</t>
  </si>
  <si>
    <t>*  Medical test laboratories performing tests on humans or animals are exempt.</t>
  </si>
  <si>
    <t>See Remarks for line item #149</t>
  </si>
  <si>
    <t>* Drug screens done outside of hospitals or clinics subject to 4.5% sales tax</t>
  </si>
  <si>
    <t>*  Professional service if operated under direction of professional physician.</t>
  </si>
  <si>
    <t xml:space="preserve">     Nursing services out-of-hospital</t>
  </si>
  <si>
    <t xml:space="preserve">   s</t>
  </si>
  <si>
    <t>* Taxable only in connection with a cosmetic medical procedure</t>
  </si>
  <si>
    <t>See Remarks for line item #150</t>
  </si>
  <si>
    <t xml:space="preserve">     Physicians</t>
  </si>
  <si>
    <t xml:space="preserve">* May be deductible if the payment is made by a health care insurer for commercial contract services. Additional deductions are available for receipts from Medicare and payments from Indian Health Services (IHS) for beneficiaries covered by the IHS. </t>
  </si>
  <si>
    <t>See Remarks for line item #151</t>
  </si>
  <si>
    <t>Leases and Rentals</t>
  </si>
  <si>
    <t xml:space="preserve">    Personal property, short term (generally)</t>
  </si>
  <si>
    <t xml:space="preserve">* Exempt from sales tax; taxed at 4% rental tax levied on the lessor. </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</si>
  <si>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t>
  </si>
  <si>
    <t>*  Generally taxable under the personal property rental classification.</t>
  </si>
  <si>
    <t xml:space="preserve">* Charges for rentals and leases of property are subject to tax except for property used for less than one day on the premises of the lessor with a rental of less than $20.  If a lessor makes timely election to do so, the lessor may pay tax on the purchase price of the lease inventory rather than on rentals provided the property is leased in substantially the same form as acquired by the lessor.  </t>
  </si>
  <si>
    <t>*   If lease for 3 years or less, department may permit purchase free of sales tax and collection of tax on lease payments.  If lease for more than 3 years, department will collect tax on lease payments.</t>
  </si>
  <si>
    <t xml:space="preserve">*  Sales tax due on rental of tangible personal property. See KY Regulation 103 KAR 28:051.  </t>
  </si>
  <si>
    <t>*  Tax only transactions in which owner relinquishes control over property to lessee/rentee.  Equipment rentals with operator are not subject to sales tax.</t>
  </si>
  <si>
    <t>*  Lessor is considered the consumer and pays tax at acquisition, except furniture, audio tapes and audio equipment rented under "rent-to-own" arrangement.  But rentals are taxable when in lieu of purchase.</t>
  </si>
  <si>
    <t>*  Lessor may pay tax on purchase and lease free of tax or buy item under resale exemption and collect tax on lease receipts.  Must obtain authority for such election.</t>
  </si>
  <si>
    <t>*  Deductions available for sales of tangible personal property for leasing, lease of tangible personal property for subsequent leasing and for leasing vehicle to ICC permit holders transporting passengers or property for hire interstate.</t>
  </si>
  <si>
    <t>*  Taxable only if property has not previously been subjected to sales tax.</t>
  </si>
  <si>
    <t>*  Rental of personal property is synonymous with the sale of personal property.  The total amount of the rental charge is subject to sales or use tax in the same way that  the sale of the same item is taxable.</t>
  </si>
  <si>
    <t>*  Lessor may elect to pay on cost.</t>
  </si>
  <si>
    <t>* A maximum tax of $300 is established for sales or long term (90 + days) rentals of aircraft, motor vehicles, boats, motorcycles, trailers, RV's, and light construction equipment. See Section 12-36-2110</t>
  </si>
  <si>
    <t xml:space="preserve">*Tax is imposed on the monthly or other periodic payment </t>
  </si>
  <si>
    <t>* Motor vehicles leased or rented for less than 31 days are taxed at 10%.</t>
  </si>
  <si>
    <t>*   W.S. 39-15-103(a)(i)(B) imposes sales tax on the gross rental paid for the lease or contract transferring possession of tangible perosnal property if the transfer of possession would be taxable if a sale occurred. See WY Dept of Rev Rules, Chap 2, Sec 13(cc) regarding leases and rentals.</t>
  </si>
  <si>
    <t xml:space="preserve">    Personal property, long term (generally)</t>
  </si>
  <si>
    <t>*  Tax is not due on rentals for more than 30 days if Arkansas gross receipts or use tax previously paid on item.</t>
  </si>
  <si>
    <t xml:space="preserve">* If a lessor makes timely election to do so, the lessor may pay tax on the purchase price of the lease inventory rather than on rentals provided the property is leased in substantially the same form as acquired by the lessor. </t>
  </si>
  <si>
    <t xml:space="preserve">*  Same as last entry. </t>
  </si>
  <si>
    <t>*  Lessor is considered the consumer and pays tax at acquisition.  But rentals are taxable when in lieu of purchase.</t>
  </si>
  <si>
    <t xml:space="preserve">*  Lessor may elect to pay on cost.  </t>
  </si>
  <si>
    <t>* Motor vehicles leased or rented for more than 180 days are exempt.</t>
  </si>
  <si>
    <t xml:space="preserve">    Bulldozers, draglines and const. mach., short term</t>
  </si>
  <si>
    <t xml:space="preserve">* Exempt from sales tax; taxed at 1.5% rental tax levied on the lessor. </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</si>
  <si>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 Tax is not due when operator is provided by the vendor.</t>
  </si>
  <si>
    <t>*  Exempt unless otherwise exempt by statute (e.g., for use in mining operations, for use by a qualified business for harvesting/processing qualifying forest products).</t>
  </si>
  <si>
    <t>* Machinery rental surcharge of 1.5% is imposed for rentals less than 365 days.</t>
  </si>
  <si>
    <t>*  Rental of bulldozers, draglines and construction machinery with operator is exempt.  However, still taxable if control over use passes to the customer.</t>
  </si>
  <si>
    <t>*  The lease or rental of machinery and equipment is exempt when directly and primarily used for new construction. The dealer owes 6% sales or use tax on its purchase of such inventory.</t>
  </si>
  <si>
    <t>*  Same as last entry.</t>
  </si>
  <si>
    <t>*  Bare equipment rental only.</t>
  </si>
  <si>
    <t>* Exempt on public works projects.  See M.G.L. c. 64H, s. 6(f).</t>
  </si>
  <si>
    <t>* Exempt if rented with operator.</t>
  </si>
  <si>
    <t>*  Exempt if used in mining.</t>
  </si>
  <si>
    <t xml:space="preserve">* Exempt if rented with an operator </t>
  </si>
  <si>
    <t>* See Remarks for line item #153 above.</t>
  </si>
  <si>
    <t>* If leased with operator, this lease is subject to the 2% contractors excise tax.</t>
  </si>
  <si>
    <t xml:space="preserve">    Bulldozers, draglines and const. mach., long term</t>
  </si>
  <si>
    <t>*  Tax is not due on rentals for more than 30 days if Arkansas gross receipts or use tax previously paid on item. Tax is not due when operator is provided by the vendor.</t>
  </si>
  <si>
    <t xml:space="preserve">    Rental of hand tools to licensed contractors.</t>
  </si>
  <si>
    <t>*  Short term rental tax of 1% in addition to sales tax.  Short term is up to 30 days.</t>
  </si>
  <si>
    <t>* Exempt on public works projects.  See M.G.L. c. 64H, s. 6(f)</t>
  </si>
  <si>
    <t xml:space="preserve">    Short term automobile rental</t>
  </si>
  <si>
    <t xml:space="preserve">*  Short term rental vehicle tax of 10% in addition to sales tax.  Short term is up to 30 days. </t>
  </si>
  <si>
    <t>*  Tourism Fund Surcharge Tax of $1 is imposed on the lease or rental of a passenger motor vehicle for each day up to 30 days.  Motor vehicle rental surcharge of 3% is imposed for less than 31 days for passenger motor vehicle and truck rental.</t>
  </si>
  <si>
    <t>*  5.75% for vehicles not classified as fleet rental or lease vehicles and utility trailers and thus remaining subject to the D.C. Motor Vehicle Excise Tax.</t>
  </si>
  <si>
    <t>*   Effective July 1, 1989, a surcharge of $2.00 per day or any part of a day is imposed.  Surcharge applies to first 30 days of the term of a lease.  Surcharge is subject to sales and use tax.</t>
  </si>
  <si>
    <t>*  Auto lease less than 30 days is subject to MVR excise tax in addition to sales tax.  The 30 day rule for RST does not apply.</t>
  </si>
  <si>
    <t>* Short term automobile rental is subject to 6% sales or use tax plus 5% automobile rental excise tax.</t>
  </si>
  <si>
    <t xml:space="preserve">* U-Drive It Tax, KRS 138.463 </t>
  </si>
  <si>
    <t>*  Additional 3% excise tax due on rentals of 29 days or less.</t>
  </si>
  <si>
    <t>*  For rentals of less than 12 months.</t>
  </si>
  <si>
    <t>*  Taxable price includes all charges and extras related to rental; short-term truck rental is taxed at 8%</t>
  </si>
  <si>
    <t>* Passenger cars and vans designed to carry up to 15 passengers, and certain pick-up trucks that are leased or rented for less than 29 days are also subject to a 9.2% motor vehicle rental tax and may be subject to an additional 5% fee.</t>
  </si>
  <si>
    <t>* An additional 6% motor vehicle Rental Tax is imposed on rental agreements with a term of not more than 30 continuous days (Sec. 27-65-231).</t>
  </si>
  <si>
    <t>* A 4% selective sales and use tax on the base rental charges for rental vehicles</t>
  </si>
  <si>
    <t>* See Reg. 1-019.</t>
  </si>
  <si>
    <t xml:space="preserve">*  Plus local taxes.  A lessor who purchases tangible personal property may pay tax to vendor on sales price or may provide vendor a resale certificate and pay tax on lease or rental receipts. In addition there is an additional  6 % fee of rental/leasing charges on passenger vehicles rented or leased for 31 days or less, or by the day, or by the trip
</t>
  </si>
  <si>
    <t>RSA 78-A, Meals &amp; Rooms Tax</t>
  </si>
  <si>
    <t>*  Also subject to 5% Leased Vehicle Gross Receipts Tax and $2/day Leased Vehicle Surcharge.</t>
  </si>
  <si>
    <t>*  Additional rental tax may apply</t>
  </si>
  <si>
    <t xml:space="preserve">* Exempt from sales tax.  Vehicles subject to Highway Use tax.  Short term lease is less than 365 continuous days.  </t>
  </si>
  <si>
    <t>*  up to 3% of 8% retained by rental company as reimbursement for excise tax on purchases of fleet vehicles</t>
  </si>
  <si>
    <t>*  4.5% sales tax plus 6% vehicle rental tax. Sales, lease, rental of trucks and trailers which exceed 8,000 pounds are exempt from sales tax or 6% vehicle rental tax, and are subject to a reduced motor vehicle excise tax.</t>
  </si>
  <si>
    <t>*  Rentals less than 29 days are subject to additional $2/day public transportation assistance fund tax.</t>
  </si>
  <si>
    <t>*  Lessor may elect to pay on cost. Additional 8% surcharge applied to rentals of 30 days or less.</t>
  </si>
  <si>
    <t>* See Remarks for line item #153above.</t>
  </si>
  <si>
    <t>*  Rental of registered motor vehicles is exempt if lease is 28 days or longer.</t>
  </si>
  <si>
    <t>* Motor vehicles leased or rented for less than 31 days are taxed at 10%; leases or rentals for 31 to 180 days are taxed at 6.25%.</t>
  </si>
  <si>
    <t>*  Short term motor vehicle rental taxes may apply between 2.5% and 9.5% on rental of 30 days or less.</t>
  </si>
  <si>
    <t xml:space="preserve">*   Exempt from sales tax, but subject to special 7% short term motor vehicle rental tax.  The rental of trucks is exempt from the 7% motor vehicle rental tax. </t>
  </si>
  <si>
    <r>
      <rPr>
        <sz val="14"/>
        <rFont val="Arial"/>
        <family val="2"/>
        <scheme val="minor"/>
      </rPr>
      <t xml:space="preserve">*  Exempt from retail sales tax. </t>
    </r>
    <r>
      <rPr>
        <sz val="14"/>
        <color rgb="FFFF0000"/>
        <rFont val="Arial"/>
        <family val="2"/>
        <scheme val="minor"/>
      </rPr>
      <t xml:space="preserve"> Subject to motor vehicle rental taxes and fee. </t>
    </r>
  </si>
  <si>
    <t>*  plus 0.471% B&amp;O tax paid by the firm. Rate includes separate 5.9% rental car tax.</t>
  </si>
  <si>
    <t>*  In addition to the 5% state tax, a 5% rental vehicle fee is imposed on the rental of certain vehicles without drivers for a period of 30 days or less (except rerentals or rentals of service or repair replacement vehicles) if the retailer is primarily engaged short-term rental of passenger automobiles.  A 3% local expo rental car tax also applies to certain short term rentals in Milwaukee County.</t>
  </si>
  <si>
    <t xml:space="preserve">    Long term automobile lease</t>
  </si>
  <si>
    <t>*  Long term rental vehicle tax of 1.5% was rescinded per Ark. Code Ann. § 26-63-304(b), effective June 30, 2015.</t>
  </si>
  <si>
    <t>* If a lessor makes timely election to do so, the lessor may pay tax on the purchase price of the lease inventory rather than on rentals provided the property is leased in substantially the same form as acquired by the lessor.</t>
  </si>
  <si>
    <t>*   Exempt lease of truck &gt; 10,000 pounds to lessee for periods of not less than 12 months when tax paid on acquisition by lessor, but rental to subsequent lessee taxable.</t>
  </si>
  <si>
    <t>*  An automobile leased for 12 months or more must be registered and is subject to the 5% fee for new registration.</t>
  </si>
  <si>
    <t>*  For rentals of 12 months or more.</t>
  </si>
  <si>
    <t>*  Leases for 6 mos to a year taxable at 6% rate.</t>
  </si>
  <si>
    <t>RSA 78-A, Meals &amp; Rooms Tax (not taxable if lease agreement is for longer than 180 days)</t>
  </si>
  <si>
    <t xml:space="preserve">* Exempt from sales tax.  Vehicles subject to Highway Use tax.  Long term lease is 365 continuous days or longer.  </t>
  </si>
  <si>
    <t xml:space="preserve">*  Sum of lease consideration subject to motor vehicle excise tax at time of lease.  </t>
  </si>
  <si>
    <t>*  Lease of personal property is synonymous with the sale of personal property.  The total amount of the lease charge is subject to sales or use tax in the same way that  the sale of the same item is taxable.</t>
  </si>
  <si>
    <t>*  Lease of autos for 12 months or longer is exempt from sales tax if owner/lessor pays motor vehicle excise tax.</t>
  </si>
  <si>
    <t>*  More than 30 day leases are subject to additional 3% public transportation assistance fund tax.</t>
  </si>
  <si>
    <t>* Rentals for more than 180 days are exempt. The lessor must pay tax on its purchase of the vehicle.</t>
  </si>
  <si>
    <r>
      <t xml:space="preserve">*  Exempt from retail sales tax.  Subject to motor vehicle sales tax </t>
    </r>
    <r>
      <rPr>
        <sz val="14"/>
        <color rgb="FFFF0000"/>
        <rFont val="Arial"/>
        <family val="2"/>
        <scheme val="minor"/>
      </rPr>
      <t>at the rate of 4.15%</t>
    </r>
    <r>
      <rPr>
        <sz val="14"/>
        <rFont val="Arial"/>
        <family val="2"/>
        <scheme val="minor"/>
      </rPr>
      <t>.</t>
    </r>
  </si>
  <si>
    <t>*  Exempt if lease extends for at least 30 days.</t>
  </si>
  <si>
    <t xml:space="preserve">    Limousine service (with driver)</t>
  </si>
  <si>
    <t>* If cannot lease limo without driver, not a lease.  Limo service is consumer of limo and tax applies to the sale of the limo, not to limo service.</t>
  </si>
  <si>
    <t xml:space="preserve">* Taxable as a transportation service. </t>
  </si>
  <si>
    <t>*  Transportation services exempt; equipment rental taxable.</t>
  </si>
  <si>
    <t>* See Regulation 830 CMR 64H.25.1(16).</t>
  </si>
  <si>
    <t>*  Limousine use is taxable at time of acquisition.</t>
  </si>
  <si>
    <t>* See Reg 1-019.</t>
  </si>
  <si>
    <t>*Taxable prior to 5/1/17 if limousine ride begins and ends within NJ.</t>
  </si>
  <si>
    <t>*Intra-state transportation.</t>
  </si>
  <si>
    <t>* Exempt if transportation is entirely within the same municipality.</t>
  </si>
  <si>
    <t>*  Exempt unless a rental.</t>
  </si>
  <si>
    <t>*  5% fee on limousine services provided with a driver.</t>
  </si>
  <si>
    <t>*  W.S. 39-15-103(a)(i)(D) imposes sales tax on the sales price paid for intrastate transportation of passengers. W.S. 39-15-105(a)(viii)(A)(II) exempts interstate transportation of passengers.</t>
  </si>
  <si>
    <t xml:space="preserve">    Aircraft rental to individual pilots, short term</t>
  </si>
  <si>
    <t>* Sale to lessor at retail and subject to tax unless lessor makes timely irrevocable election to pay tax on fair rental value.</t>
  </si>
  <si>
    <t>*  Aircraft is never mentioned but could be considered personal property?</t>
  </si>
  <si>
    <t>[DELETE]</t>
  </si>
  <si>
    <t xml:space="preserve">* Sales tax due on rental of tangible personal property. See KY Regulation 103 KAR 28.051. </t>
  </si>
  <si>
    <t xml:space="preserve">*$2,500 maximum tax </t>
  </si>
  <si>
    <t xml:space="preserve">*  Payment of 5% aircraft excise tax required at time of purchase.  No further tax imposed on rental. </t>
  </si>
  <si>
    <t>* Unless commercial NT use</t>
  </si>
  <si>
    <r>
      <t>*  Exempt from retail sales tax.  Subject to aircraft sales tax</t>
    </r>
    <r>
      <rPr>
        <sz val="14"/>
        <color rgb="FFFF0000"/>
        <rFont val="Arial"/>
        <family val="2"/>
        <scheme val="minor"/>
      </rPr>
      <t xml:space="preserve"> at the rate of 2%.</t>
    </r>
  </si>
  <si>
    <t xml:space="preserve">    Aircraft rental to individual pilots, long term</t>
  </si>
  <si>
    <t>* Sale to lessor at retail and subject to tax unless lessor makes timely irrevocable election to pay tax on fare rental value.</t>
  </si>
  <si>
    <t>*  Exempt if principally to transport passengers or freight in interstate commerce.</t>
  </si>
  <si>
    <t xml:space="preserve">*$2,500 maximum tax.  </t>
  </si>
  <si>
    <r>
      <t>*  Exempt from retail sales tax.   Subject to aircraft sales tax</t>
    </r>
    <r>
      <rPr>
        <sz val="14"/>
        <color rgb="FFFF0000"/>
        <rFont val="Arial"/>
        <family val="2"/>
        <scheme val="minor"/>
      </rPr>
      <t xml:space="preserve"> at the rate of 2%.</t>
    </r>
  </si>
  <si>
    <t xml:space="preserve">    Chartered flights (with pilot)</t>
  </si>
  <si>
    <t>* See limo service note.  If can lease aircraft without pilot, see aircraft note.  (Charge for pilot not taxable.)</t>
  </si>
  <si>
    <t>*  Intrastate flights taxable when rendered by certificated air carrier on aircraft qualifying for resale.</t>
  </si>
  <si>
    <t>*  DC reg. 462 taxes chartered vehicles but does not mention chartered flights</t>
  </si>
  <si>
    <t>* Rentals w/ an operator are exempt.</t>
  </si>
  <si>
    <t>*  Aircraft used is taxable at time of acquisition.</t>
  </si>
  <si>
    <t>* Intra-state transportation</t>
  </si>
  <si>
    <t>* Unless commercial LI use</t>
  </si>
  <si>
    <t>*  Intrastate.</t>
  </si>
  <si>
    <r>
      <t>*  Exempt from retail sales tax.   Subject to aircraft sales tax</t>
    </r>
    <r>
      <rPr>
        <sz val="14"/>
        <color rgb="FFFF0000"/>
        <rFont val="Arial"/>
        <family val="2"/>
        <scheme val="minor"/>
      </rPr>
      <t xml:space="preserve"> at the rate of 2%.  Aircraft owned and used by an airline only in its operations as a common carrier are exempt.</t>
    </r>
  </si>
  <si>
    <t>Prohibited by Federal Law.</t>
  </si>
  <si>
    <t>* Exempted as a professional service provided by a licensed and certified pilot.  Exempted if flight is interstate.</t>
  </si>
  <si>
    <t>72111/9</t>
  </si>
  <si>
    <t xml:space="preserve">    Hotels, motels, lodging houses</t>
  </si>
  <si>
    <t>*Exempt from sales tax; taxed at 4% lodgings tax unless county is within the Alabama Mountain Lakes Association area where tax is 5%.  Over 180 days continuous occupancy exempt.</t>
  </si>
  <si>
    <t>*  Municipalities can impose tax on hotels, motels.  Anchorage and Fairbanks Northstar Borough, for instance, impose tax at 8% on transient accommodations.</t>
  </si>
  <si>
    <t>*  2% tourism tax in addition to 6.5% sales tax for rentals for less than month-to-month term.</t>
  </si>
  <si>
    <t>*  Generally taxable under the transient lodging classification, if lodging is obtained for less than 30 consecutive days.</t>
  </si>
  <si>
    <t>*  Cities may charge an occupancy tax; rates vary by city.</t>
  </si>
  <si>
    <t xml:space="preserve">*  30 days occupancy or less.  </t>
  </si>
  <si>
    <t>*  Annual room charges:  Hotel, Rm = $25, Suite = $30; Motel, Rm = $25, TH Rm = $15.  Eight percent (8%) collected from occupants.</t>
  </si>
  <si>
    <t>*  0.3% increase in the  TITLE VII, SUBTITLE T, §§7241-7242 of the 2018 BSA</t>
  </si>
  <si>
    <t>*  Some counties impose additional local option taxes which apply to these types of accommodations.</t>
  </si>
  <si>
    <t>*  Stays over 90 consecutive nights are exempt.</t>
  </si>
  <si>
    <t>*  Plus 2% statewide lodging tax, 5% auditorium district tax in certain cities; some local hotel taxes in Resort Cities.</t>
  </si>
  <si>
    <t>*  Subject to an additional local option innkeeper's tax.  Exempt if rental period exceeds 29 days.</t>
  </si>
  <si>
    <t>*  State hotel and motel tax is 5%. A locality may also impose a local hotel and motel tax, which varies from 1% to 7%. Exempt from state and local taxes if rented by the same person for a period of more than 31 consecutive days.</t>
  </si>
  <si>
    <t>* For transient rentals of less than 30 days . The 6% sales tax applies and 1% state transient room tax. There are also local transient room taxes in many jurisdictions.</t>
  </si>
  <si>
    <t>*  Except for Orleans and Jefferson Parishes, which have a 2% state sales tax rate on hotel rooms.</t>
  </si>
  <si>
    <t>*  Exempt if over 28 days and rental is person's primary residence, or is in connection with education or employment.</t>
  </si>
  <si>
    <t>*  Several local jurisdictions impose an additional tax on hotel/motel charges.</t>
  </si>
  <si>
    <t>* Exempt from sales tax, but taxable under companion occupancy tax.  Local option tax up to 4%.</t>
  </si>
  <si>
    <t xml:space="preserve">* Counties and certain other tourism-related bodies are authorized to impose an excise fee in addition to tax on hotel and motel accommodations to a maximum of 5%.  Certain local government units are also required to impose a special variable tax on convention facilities. </t>
  </si>
  <si>
    <t>* Cities and townships may impose an additional lodging tax.</t>
  </si>
  <si>
    <r>
      <t xml:space="preserve">* An additional county and city tax of 1% to </t>
    </r>
    <r>
      <rPr>
        <sz val="14"/>
        <color rgb="FFFF0000"/>
        <rFont val="Arial"/>
        <family val="2"/>
        <scheme val="minor"/>
      </rPr>
      <t>5</t>
    </r>
    <r>
      <rPr>
        <sz val="14"/>
        <rFont val="Arial"/>
        <family val="2"/>
        <scheme val="minor"/>
      </rPr>
      <t>% is imposed on hotel and motel rooms.</t>
    </r>
  </si>
  <si>
    <t>*  A 4% lodging facility use tax on the lodging charge collected by the facility. A 3% sales tax on accommodation is levied in addition to the lodging facilities use tax.</t>
  </si>
  <si>
    <t xml:space="preserve">* A 1% state lodging tax is also levied.  In addition, some counties impose an optional county lodging tax of up to 4%.  </t>
  </si>
  <si>
    <t>*  Locally collected lodging tax (assessed at county level).</t>
  </si>
  <si>
    <t>* Also a 5% State Occupancy Fee and possible Municipal Occupancy Tax up to 3%.</t>
  </si>
  <si>
    <t>*  In addition to statewide gross receipts tax, hotels, motels, lodging houses are subject to a local option municipal and county lodgers tax.</t>
  </si>
  <si>
    <t xml:space="preserve">* Exempt after 90 continuous days to the same person; a private residence, cottage, or similar accommodation that is rented for fewer than 15 days in a calendar year other than a private residence, cottage, or similar accommodation listed with a real estate broker or agent is exempt; an accommodation arranged or provided to a person by a school, camp, or similar entity where a tuition or fee is charged to the person for enrollment in the school, camp, or similar entity is exempt. </t>
  </si>
  <si>
    <t>*Hotel, motel, and tourist court accomodations are subject to additional local lodging taxes of 1 to 3%.</t>
  </si>
  <si>
    <t>*  May be subject to a maximum 10% lodging tax.  This tax is locally administered and collected.</t>
  </si>
  <si>
    <t>*  Some Oklahoma cities and counties levy a separate room tax.</t>
  </si>
  <si>
    <t xml:space="preserve">*  The state lodging tax is 1.8% (changes to 1.5% on July 1, 2020) and some cities and counties levy an additional tax on hotel and motel room rents.  The amount of the tax varies with each city and county.  </t>
  </si>
  <si>
    <t>* subject to hotel occupancy tax.</t>
  </si>
  <si>
    <t xml:space="preserve">*  State hotel tax of 5% and local hotel tax of 1% apply in addition to state sales tax of 7%. </t>
  </si>
  <si>
    <t>* Additional guest charges are taxed at 6%. For more information about the taxation of charges by hotels, motels, etc., see SC Regulation 117-307.</t>
  </si>
  <si>
    <t>* Exempt if for 90 or more continuous days occupancy.</t>
  </si>
  <si>
    <t xml:space="preserve">* Exempt from sales tax, but taxable under hotel occupancy tax. </t>
  </si>
  <si>
    <t>*  Local transient room taxes apply between 3% and 6.25%.</t>
  </si>
  <si>
    <t>*  Exempt from sales tax, but taxable under companion meals and rooms tax.</t>
  </si>
  <si>
    <t>*  Subject to the 5.3% sales tax if for less than 90 days;  exempt if rental period is longer than 90 days.</t>
  </si>
  <si>
    <t>*  plus 0.471% B&amp;O tax paid by the firm. Additional local taxes on lodging apply.</t>
  </si>
  <si>
    <t xml:space="preserve">* In addition to the West Virginia Sales Tax, the occupancy of a hotel room in West Virginia is subject to the West Virginia Hotel Occupancy Tax of not more than 6%, a privilege tax on the occupancy of a hotel room located within a taxing jurisdiction within the State.   Hotel room occupancy billed directly to the State or federal government is exempt from the tax.   </t>
  </si>
  <si>
    <t>*  Less than one month.</t>
  </si>
  <si>
    <t>*   W.S. 39-15-103(a)(i)(G) imposes sales tax on the sales price paid for living quarters in hotels, motels, tourist courts and similar establishments providing lodging services for transient guests. In addition to sales tax, lodging services are subject to lodging tax if locally enacted. See current tax rate chart attached for jurisdictions imposing lodging tax. See also Lodging Tax Publication. See also WY Dept of Rev Rules, Chap 2, Sec 13(r).</t>
  </si>
  <si>
    <t>*  6 state tax at local level</t>
  </si>
  <si>
    <t xml:space="preserve">    Trailer parks - overnight</t>
  </si>
  <si>
    <t>*  Generally taxable under the transient lodging classification.</t>
  </si>
  <si>
    <t>*  Trailer rental taxable as rental of tangible personal property.</t>
  </si>
  <si>
    <t>*  Annual fee of $10 per space.</t>
  </si>
  <si>
    <t>*  The statute does not explicitly mention trailer parks, but states any place that offers rooms regularly</t>
  </si>
  <si>
    <r>
      <t xml:space="preserve">*  If just a space is being rented, the tax does not apply.  If a space and a trailer are rented overnight, the tax applies </t>
    </r>
    <r>
      <rPr>
        <sz val="14"/>
        <color rgb="FFFF0000"/>
        <rFont val="Arial"/>
        <family val="2"/>
        <scheme val="minor"/>
      </rPr>
      <t>as described in note 164</t>
    </r>
    <r>
      <rPr>
        <sz val="14"/>
        <rFont val="Arial"/>
        <family val="2"/>
        <scheme val="minor"/>
      </rPr>
      <t xml:space="preserve">.  Exempt </t>
    </r>
    <r>
      <rPr>
        <sz val="14"/>
        <color rgb="FFFF0000"/>
        <rFont val="Arial"/>
        <family val="2"/>
        <scheme val="minor"/>
      </rPr>
      <t xml:space="preserve">from state and local taxes </t>
    </r>
    <r>
      <rPr>
        <sz val="14"/>
        <rFont val="Arial"/>
        <family val="2"/>
        <scheme val="minor"/>
      </rPr>
      <t>if mobile home is rented by the same person for a period of more than 31 consecutive days.</t>
    </r>
  </si>
  <si>
    <t>* See Reg. 1-103. A 1% state lodging tax is also levied, as well as county lodging tax for certain counties that impose a county lodging tax.</t>
  </si>
  <si>
    <t>Provided charge is for rental of campsite, rv site, etc. and not for the rental of mobile home, etc.</t>
  </si>
  <si>
    <t>* Unless commercial KS use</t>
  </si>
  <si>
    <t>* See Remarks for line item #164 above.</t>
  </si>
  <si>
    <t>Fabrication, Installation and Repair Services</t>
  </si>
  <si>
    <t xml:space="preserve">    Custom fabrication labor</t>
  </si>
  <si>
    <t>*  Labor cost included in basis of final product.</t>
  </si>
  <si>
    <t>*  Labor alone is exempt unless the sale price of the item includes the cost of labor.</t>
  </si>
  <si>
    <t>*  Generally taxable under the retail classification.</t>
  </si>
  <si>
    <t>*  When done for consumer.  Plus applicable district tax</t>
  </si>
  <si>
    <t>*  Labor to produce, fabricate, process, print, or imprint tangible personal property for consumers who furnish the material used is taxable.</t>
  </si>
  <si>
    <t>*  Taxable as sale of property.</t>
  </si>
  <si>
    <t>*  Fabrication or production of tangible personal property by special order is taxable.</t>
  </si>
  <si>
    <t xml:space="preserve">* Cost of manufactured product affixed to real property may include direct labor cost under certain circumstances.  See RAB 2016-24.  </t>
  </si>
  <si>
    <t>* Unless tangible personal property is provided.</t>
  </si>
  <si>
    <t>*  Production and assembly labor is taxable.</t>
  </si>
  <si>
    <t xml:space="preserve">*  Considered a part of sales price.  </t>
  </si>
  <si>
    <t>*  If the work performed involves the fabrication of tangible personal property, the charges are subject to the Ohio sales tax.</t>
  </si>
  <si>
    <t>*  Repair alteration or installation of tangible personal property is subject to tax.  Taxable price includes materials, labor and installation.  Repair or installer on Real Estate pays tax on purchase of materials.</t>
  </si>
  <si>
    <t>* Taxable if part of the charge (sale) of tangible personal property.Exempt if not part of the charge (sale) of tangible personal property.</t>
  </si>
  <si>
    <t>*  Taxable when service involves tangible personal property.</t>
  </si>
  <si>
    <t xml:space="preserve">    Repair material, generally</t>
  </si>
  <si>
    <t xml:space="preserve">*  Tax applies to charge for repair materials, not services.  If materials =,&lt;10% total contract price &amp; no separate charge applies, repairer is consumer of materials (i.e., tax applies to sale of repairs).  Plus applicable district tax,(0.5-1.5%).     </t>
  </si>
  <si>
    <t>*  Only if billed separately; otherwise, repair shop purchase is taxable.</t>
  </si>
  <si>
    <t>* See Regulation 830 CMR 64H.1.1.</t>
  </si>
  <si>
    <t>*  Tax to be paid by contractor.</t>
  </si>
  <si>
    <t>*  Repair or installation of tangible personal property is subject to tax.  Taxable price includes materials, labor and installation.  Repairer or installer on Real Estate pays tax on purchase of materials.  Shoe repair and garment repair are exempt (both labor and materials).</t>
  </si>
  <si>
    <t>* Repairperson may be able to purchase some materials tax-free under the sale-for-resale exemption.</t>
  </si>
  <si>
    <r>
      <t>*  Sale of tangible personal property or service directly used in the production of natural resources, manufacturing, transmission or communication</t>
    </r>
    <r>
      <rPr>
        <sz val="14"/>
        <rFont val="Arial"/>
        <family val="2"/>
        <scheme val="minor"/>
      </rPr>
      <t xml:space="preserve"> </t>
    </r>
    <r>
      <rPr>
        <b/>
        <u/>
        <sz val="14"/>
        <color theme="4"/>
        <rFont val="Arial"/>
        <family val="2"/>
        <scheme val="minor"/>
      </rPr>
      <t>is</t>
    </r>
    <r>
      <rPr>
        <sz val="14"/>
        <rFont val="Arial"/>
        <family val="2"/>
        <scheme val="minor"/>
      </rPr>
      <t xml:space="preserve"> exempt from sales and use tax.</t>
    </r>
    <r>
      <rPr>
        <b/>
        <sz val="14"/>
        <color rgb="FF00B050"/>
        <rFont val="Arial"/>
        <family val="2"/>
        <scheme val="minor"/>
      </rPr>
      <t xml:space="preserve"> W. Va. Code 11-15-2(b)(4).</t>
    </r>
  </si>
  <si>
    <t>*  Repair material used in repairs to tangible personal property exempt if underlying property is exempt. Repairs to real property nontaxable.</t>
  </si>
  <si>
    <t>*  W.S. 39-15-103(a)(i)(A) imposes sales tax on all sales of tangible personal property. W.S. 39-15-105(a)(viii)(J) exempts repair materials for qualifying aircraft. W.S. 39-15-105(a)(viii)(O) exempt repair materials for qualifying manufacturing machinery. See WY Dept of Rev Rules, Chap 2, Sec 13(dd) regarding repairs, alterations and improvements. See also WY Dept of Rev Rules, Chap 2, Sec 10(c).</t>
  </si>
  <si>
    <t xml:space="preserve">    Repair labor, generally</t>
  </si>
  <si>
    <t>*  Repair to specific property (including motor vehicles) only taxable. Includes aircraft, farm machinery and farm implements, motors of all kinds, tires, batteries, boats, electrical appliances, and electrical devices, furniture, rugs, flooring, upholstery, household appliances, television and radio, jewelry, watches,  clocks, engineering instruments, medical instruments and surgical instruments, machinery of all kinds, bicycles, office machines, office equipment, shoes, tin and sheet metal, mechanical tools and shop equipment.</t>
  </si>
  <si>
    <t>*  Repair labor not taxable if separately stated.</t>
  </si>
  <si>
    <t>* Repair labor is not subject to tax.  However, if a part is fabricated as part of a repair, the labor for fabricating the part is subject to tax.</t>
  </si>
  <si>
    <t>*  Exempt if labor separately stated on bill; taxable if billed as total charge and not broken out as labor.</t>
  </si>
  <si>
    <t>*  The total charge for parts and labor for the repair of tangible personal property is subject to sales tax if any parts are added incorporated into the repaired item.</t>
  </si>
  <si>
    <t>*  Labor exempt if separately stated.</t>
  </si>
  <si>
    <t>*  Separately stated repair labor is not taxable.  If labor is not separately stated, tax applies to the total charge.</t>
  </si>
  <si>
    <t>*  Taxable if labor charges are not separately stated.</t>
  </si>
  <si>
    <t>*  Motor vehicle, boat, roof, shingle and glass repair, electronic and electrical, farm implement, fur, household appliance, jewelry and watch, machine, motor, office and business machine, etc.</t>
  </si>
  <si>
    <t>*  Repair and installation labor is exempt only if separately stated from taxable TPP.</t>
  </si>
  <si>
    <r>
      <t xml:space="preserve">*  Exempt if separately stated, except repair of telecommunications equipment </t>
    </r>
    <r>
      <rPr>
        <sz val="14"/>
        <color rgb="FFFF0000"/>
        <rFont val="Arial"/>
        <family val="2"/>
        <scheme val="minor"/>
      </rPr>
      <t>(which is subject to Service Provider Tax).</t>
    </r>
  </si>
  <si>
    <t>* Separately stated labor is exempt.</t>
  </si>
  <si>
    <t>*  Labor exempt if billed separately.</t>
  </si>
  <si>
    <t>* Repair labor is exempt if separately stated on invoice.</t>
  </si>
  <si>
    <t>*  Repair labor exempt if separately stated.</t>
  </si>
  <si>
    <t>*  Material only subject to 5% use tax.</t>
  </si>
  <si>
    <t>*  If equipment being repaired or installed is not otherwise exempt, then the labor to effect or install is taxable.</t>
  </si>
  <si>
    <t>*  Labor is exempt if separately stated from the charge made for materials.</t>
  </si>
  <si>
    <t>*  Labor is exempt if stated separately.</t>
  </si>
  <si>
    <t xml:space="preserve">* If tangible personal property is sold, then repair labor is only exempt if separately stated from charges for tangible personal property on the invoice.  </t>
  </si>
  <si>
    <t xml:space="preserve">* Repair services on real property are not taxable except as to tangible personal property used. </t>
  </si>
  <si>
    <t>*  Sales of materials are subject to the six percent sales and use tax; labor is exempt from tax if it is separately stated.</t>
  </si>
  <si>
    <t>*  Repair to tangible personal property exempt if underlying property is exempt. Repairs to real property nontaxable.</t>
  </si>
  <si>
    <t>*  W.S. 39-15-103(a)(i)(J) imposes tax on services that repair, alter or improve  tangible personal property but does not impose sales tax on services that repair, alter, improve or construct real property. See WY Dept of Rev Rules, Chap 2, Sec 13(dd) regarding repairs, alterations and improvements. See WY Dept of Rev Rules, Chap 2, Sec 10(c) for labor to real property.</t>
  </si>
  <si>
    <t xml:space="preserve">    Labor charges on repair of aircraft</t>
  </si>
  <si>
    <t>*  Parts and labor used in the repair of commercial jet aircraft having a certified maximum take-off weight of more than 12,500 lbs are exempt.</t>
  </si>
  <si>
    <t>*  Exempt if labor charges are for the repair and maintenance of an aircraft of more than 2,000  lbs. maximum certified takeoff weight and rotary wing aircraft of more than 10,000 lbs. certified takeoff weight.</t>
  </si>
  <si>
    <t>*  Labor must be separately stated.  Major component parts exempt when engaged as common carriers.</t>
  </si>
  <si>
    <t>*  Certain aircraft repair services are exempt under section 237-24.9, HRS.</t>
  </si>
  <si>
    <t>*  Exempt if for resale or to air carrier.</t>
  </si>
  <si>
    <t>*Receipts from maintaining, refurbishing, remodeling or otherwise modifying a commercial or military carrier weighing more then 10,000 pounds GLW may be deducted.</t>
  </si>
  <si>
    <t>This is now exempt 5739.02(B)(49) aircraft has to be more than 6k pounds</t>
  </si>
  <si>
    <t>* See Remarks for line item #166 and #168 above.</t>
  </si>
  <si>
    <t>* Parts and labor are exempt for commercial interstate or international air carrier.</t>
  </si>
  <si>
    <t>*  Labor is exempt if aircraft is operated by common carriers in interstate or foreign commerce.</t>
  </si>
  <si>
    <r>
      <t xml:space="preserve">*  Sales of tangible property and services for direct use in the business of transportation are exempt. </t>
    </r>
    <r>
      <rPr>
        <b/>
        <sz val="14"/>
        <color rgb="FF00B050"/>
        <rFont val="Arial"/>
        <family val="2"/>
        <scheme val="minor"/>
      </rPr>
      <t xml:space="preserve">W.Va. Code 11-15-9(b)(2).  </t>
    </r>
    <r>
      <rPr>
        <sz val="14"/>
        <color theme="3"/>
        <rFont val="Arial"/>
        <family val="2"/>
        <scheme val="minor"/>
      </rPr>
      <t xml:space="preserve"> </t>
    </r>
    <r>
      <rPr>
        <b/>
        <u/>
        <sz val="14"/>
        <color theme="3"/>
        <rFont val="Arial"/>
        <family val="2"/>
        <scheme val="minor"/>
      </rPr>
      <t>Sales of aircraft repair when the services are to an aircraft operated by a certified or licensed carrier of persons or property, or by a governmnetal entity, or to an engine or other component part of an aircraft operated by a certifiecated or licensed carrier or persons or property, or by a governmental entity, as part of the repair service in the repair of aircraft, aircraft engines or aircraft component parts for a certificated or licensed carrier of persons or property or for a governmental entity are exempt.</t>
    </r>
    <r>
      <rPr>
        <b/>
        <u/>
        <sz val="14"/>
        <color theme="4"/>
        <rFont val="Arial"/>
        <family val="2"/>
        <scheme val="minor"/>
      </rPr>
      <t xml:space="preserve">  </t>
    </r>
    <r>
      <rPr>
        <b/>
        <u/>
        <sz val="14"/>
        <color rgb="FF00B050"/>
        <rFont val="Arial"/>
        <family val="2"/>
        <scheme val="minor"/>
      </rPr>
      <t>W. Va. Code 11-15-9(a)(33); 110CSR15-9.4.7.</t>
    </r>
  </si>
  <si>
    <t>*  Exemption for services to and parts  (but not supplies) for an aircraft, effective July 1, 2014.</t>
  </si>
  <si>
    <t>*  W.S. 39-15-103(a)(i)(J) imposes tax on services that repair, alter or improve  tangible personal property. Exempt if performed at an FAA certified repair facility under W.S. 39-15-105(a)(viii)(J) or if the aircraft is operated by a commercial operator per W.S. 39-15-105(a)(viii)(P).</t>
  </si>
  <si>
    <t xml:space="preserve">    Labor charges - repairs to interstate vessels </t>
  </si>
  <si>
    <t>*  Parts and labor used in the repair and construction of vessels, barges and towboats of at least fifty ton load displacement are exempt.</t>
  </si>
  <si>
    <t>*  Repair labor and fabrication labor exempt.  Materials taxable at 6.35%.</t>
  </si>
  <si>
    <t>*  Taxable in the ratio that miles traveled in Florida in the previous year bear to total miles traveled everywhere.</t>
  </si>
  <si>
    <t>*  Labor must be separately stated.  Major component parts exempt when repairing vehicles, planes; boats engaged as common carriers.</t>
  </si>
  <si>
    <t>*  Provided the vessels are federally owned or engaged in interstate or international trade.</t>
  </si>
  <si>
    <t>* Exempt if the vessel is licensed, the service is used to repair or restore a defect in the vessel, the vessel is engaged in interstate commerce and will continue in interstate commerce once the service is completed, and the vessel is in navigable water that borders Iowa.</t>
  </si>
  <si>
    <t>*  Repair parts exempt for interstate common carriers only.</t>
  </si>
  <si>
    <t xml:space="preserve">*  Materials and labor exempt when sold to vessels of 500 tons or more when used exclusively in interstate commerce. </t>
  </si>
  <si>
    <t>* Repair labor and materials exempt from tax if a qualified common or contract carrier.</t>
  </si>
  <si>
    <t>*  Repair material and labor exempt if vessel is 50 gross tons or more.</t>
  </si>
  <si>
    <t>* Parts and labor exempt if boat is in excess of 50 tons displacement.</t>
  </si>
  <si>
    <t>* Repairs to noncommercial vessels are taxable.</t>
  </si>
  <si>
    <t xml:space="preserve"> * Sales of tangible property and services for direct use in the business of transportation are exempt. W.Va. Code 11-15-9(b)(2). Repairing property directly used in transportation constitutes direct use.  110CSR15-2.27.1.11</t>
  </si>
  <si>
    <t>*  Exempt if in excess of 50 ton burden.</t>
  </si>
  <si>
    <t>*  W.S. 39-15-103(a)(i)(J) imposes tax on services that repair, alter or improve  tangible personal property. See WY Dept of Rev Rules, Chap 2, Sec 13(dd) regarding repairs, alterations and improvements</t>
  </si>
  <si>
    <t xml:space="preserve">    Labor charges - repairs to intrastate vessels</t>
  </si>
  <si>
    <t>*  Labor must be separatley stated from tangible personal property.</t>
  </si>
  <si>
    <t>*  Separately stated labor charges are not taxable.</t>
  </si>
  <si>
    <t xml:space="preserve">* Repair labor and materials exempt from tax if a qualified common or contract carrier. </t>
  </si>
  <si>
    <t>*  Unless for common carrier. Pennsylvania exempts fuel, repairs, supplies for vessels over 50 tons only.</t>
  </si>
  <si>
    <t>*  Sales of tangible property and services for direct use in the business of transportation are exempt. W.Va. Code 11-15-9(b)(2). Repairing property directly used in transportation constitutes direct use.  110CSR15-2.27.1.11</t>
  </si>
  <si>
    <t xml:space="preserve">    Labor - repairs to commercial fishing vessels</t>
  </si>
  <si>
    <t>*  Tangible personal property exempt for interstate common carriers only, services are taxable.</t>
  </si>
  <si>
    <t>*  Pennsylvania exempts fuel, repairs, supplies for vessels over 50 tons only.</t>
  </si>
  <si>
    <t>*  0.471% B&amp;O tax paid by the firm.</t>
  </si>
  <si>
    <t>*   Sales of tangible property and services for direct use in the business of transportation are exempt. W.Va. Code 11-15-9(b)(2).   "Transportation" includes the process of conveying, as a commercial enterprise, goods from one place or geographical location to another geographical location.  W. Va. Code 11-15-2((b)(24).  Repairing property directly used in transportation constitutes direct use.  110CSR15-2.27.1.11</t>
  </si>
  <si>
    <t xml:space="preserve">    Labor charges on repairs to railroad rolling stock</t>
  </si>
  <si>
    <t>*  Not taxable on railroad cars and equipment brought into the state solely and exclusively for repairs. Not taxable on railroad parts, railroad cars, and equipment owned by a railroad company or carrier.</t>
  </si>
  <si>
    <t>*  The installation of railroad ties is taxable under DC reg. 473.2 when performed under a landscaping contract.  Certain sales of repair or replacement parts to a common carrier or sleeping car company are not taxable when made in connection with furnishing terminal services under a written agreement made before January 1, 1963.</t>
  </si>
  <si>
    <t>*  Must be railroad rolling stock for ultimate use in interstate commerce.</t>
  </si>
  <si>
    <t>*  Exempt if railcars are owned by public utility railroad.  Exemption broadened by change in statute 11/96.</t>
  </si>
  <si>
    <t>*  Pennsylvania has direct use public utility exemption, and for movement of personalty.</t>
  </si>
  <si>
    <t>* See SC Regulation 117-311.</t>
  </si>
  <si>
    <t>*  Labor and materials exempt when used directly in the delivery of common carrier services.</t>
  </si>
  <si>
    <t>*  Exempt if used in interstate commerce.</t>
  </si>
  <si>
    <t xml:space="preserve"> *  Sales of tangible property and services for direct use in the business of transportation are exempt. W.Va. Code 11-15-9(b)(2). Repairing property directly used in transportation constitutes direct use.  110CSR15-2.27.1.11</t>
  </si>
  <si>
    <t>*  W.S. 39-15-105(a)(viii)(Q) exempts services performed for the repair, assembly, alteration or improvement of railroad rolling stock.</t>
  </si>
  <si>
    <t xml:space="preserve">    Labor charges on repairs to motor vehicles</t>
  </si>
  <si>
    <t>* See Remarks for line item #215 above. See SC Regulation 117-306.2</t>
  </si>
  <si>
    <t>*  Exempt if vehicle is used exclusively as common or contract carrier.</t>
  </si>
  <si>
    <t>*  W.S. 39-15-103(a)(i)(J) imposes tax on services that repair, alter or improve  tangible personal property. See WY Dept of Rev Rules, Chap 2, Sec 13(dd) regarding repairs, alterations and improvements. See WY Dept of Rev Rules, Chap 2, Sec 13(m) regarding garages and service stations.</t>
  </si>
  <si>
    <t xml:space="preserve">    Labor on radio/TV repairs; other electronic equip.</t>
  </si>
  <si>
    <r>
      <t xml:space="preserve">*  Repair of telecommunications equipment is taxable </t>
    </r>
    <r>
      <rPr>
        <sz val="14"/>
        <color rgb="FFFF0000"/>
        <rFont val="Arial"/>
        <family val="2"/>
        <scheme val="minor"/>
      </rPr>
      <t>under Service Provider Tax.</t>
    </r>
  </si>
  <si>
    <t>* See Remarks for line item #215 above. See SC Regulation 117-306.</t>
  </si>
  <si>
    <t>*  W.S. 39-15-103(a)(i)(J) imposes tax on services that repair, alter or improve  tangible personal property. See WY Dept of Rev Rules, Chap 2, Sec 13(dd) regarding repairs, alterations and improvements.</t>
  </si>
  <si>
    <t xml:space="preserve">    Labor charges - repairs other tangible property</t>
  </si>
  <si>
    <t xml:space="preserve">    Labor - repairs or remodeling of real property</t>
  </si>
  <si>
    <t>*  If performed on commercial, industrial and income producing property, to electrical or electronic device, to in-ground swimming pool, or if a landscaping service.</t>
  </si>
  <si>
    <t>*  Charges for repair, remodeling or construction of real property are not taxable.  Such services are taxable at 6% if TPP is included in the transaction, depending on the form of the transaxction.  (See Rule 12A-1.051, F.A.C.)</t>
  </si>
  <si>
    <t>*  Considered to be contracting.</t>
  </si>
  <si>
    <t>*  Labor charges for remodeling exempt. Repair labor is taxable.</t>
  </si>
  <si>
    <t xml:space="preserve">* Taxable both state and local sales tax if commercial remodel. Residential romodel is exempt. </t>
  </si>
  <si>
    <t>*  If it exceeds $10,000 it is taxable at 3.5% contractors tax.  If it is less than $10,000, then only services taxable under section 27-65-23 are taxable at 7%.</t>
  </si>
  <si>
    <t>*  Capital improvements to real property are exempt</t>
  </si>
  <si>
    <t>*See G.S. 105-164.4H - Real Property Contracts</t>
  </si>
  <si>
    <t>*  Subject to contractor's excise tax.</t>
  </si>
  <si>
    <t>* Labor to repair or remodel residential property is exempt.</t>
  </si>
  <si>
    <t>*  Exempt if service constitutes a capital improvement.</t>
  </si>
  <si>
    <t>*  Exempt unless on specific list of items which are deemed to retain character as personal property and are therefore taxable.</t>
  </si>
  <si>
    <t>*  Wyoming considers contractors to be the end consumers of their materials and supplies and therefore requires contractors to pay tax at the time or purchase or accrue and remit tax on them when removed from an untaxed inventory per W.S. 39-15-303(b)(i) and W.S. 39-16-303(b)(i). Wyoming does not impose sales tax on the sales price paid for services (labor) that repair, alter, improve or construct real property outside of certain oil or gas events enumerated through W.S. 39-15-103(a)(i)(K). See WY Dept of Rev Rules, Chap 2, Sec 10(c).</t>
  </si>
  <si>
    <t xml:space="preserve">    Labor charges on repairs delivered under warranty</t>
  </si>
  <si>
    <t>*  Extra charge above warranty price is taxable.</t>
  </si>
  <si>
    <t>*  Gross receipts received by an in-state service provider from an out-of-state warrantor for work performed in-state may be taxable under the retail or prime contracting classification, depending on the type of property being repaired.</t>
  </si>
  <si>
    <t>*  If tax was paid on purchase of warranty contract.</t>
  </si>
  <si>
    <t xml:space="preserve">*  Sales tax applies to warranty and maintenance contracts at the time of sale, whether or not repairs are actually made.  </t>
  </si>
  <si>
    <t>* Exempt If sales tax was paid on warranty.</t>
  </si>
  <si>
    <t>*  Exempt under factory new product warranty.</t>
  </si>
  <si>
    <t>*  Only applies to repairs delivered under original manufacturer's warranty.  Repairs delivered under an extended warranty may be taxable.</t>
  </si>
  <si>
    <t>* Sales of service and maintenance agreements are taxable.</t>
  </si>
  <si>
    <t>* A warranty is taxed up-front as an agreement to perform taxable services.</t>
  </si>
  <si>
    <t>*  Gross receipts taxed; labor and material delivered under warranty do not increase receipts unless reimbursed by person other than the manufacturer, in which case taxable.</t>
  </si>
  <si>
    <t xml:space="preserve">*See G.S. 105-164.13(62a) regarding the exemptions for a "manufacture's warranty" and a "dealer's warranty." </t>
  </si>
  <si>
    <t>*  Exempt if the warranty is provided as part of the original consideration paid for the tangible personal property.</t>
  </si>
  <si>
    <t>*  Exempt if no charges are made to customer at time of repair; deductible costs are taxable.</t>
  </si>
  <si>
    <t>* Extended warranties are taxed at the time of sale and no charge is made when covered repairs are made. Manufacturer's warranty repairs are exempt.</t>
  </si>
  <si>
    <t>*  A repair shop would not have to pay Sales Tax on any labor performed in repairing a vehicle pursuant to the service warranty contract because employees do not charge Sales Tax to their employers for personal services rendered.  W. Va. Code 11-15-2(b)(12); 110CSR15-8.  * If the shop purchases labor services from a non-employee, the shop can exercise the resale exemption because the shop is purchasing the labor services for the purpose of reselling those services to the Warrantor.  110CSR15-33.4.5. *  If property owner pays any portion of repair costs (i.e., deductible) the amount charged is taxable, unless an exemption certificate or direct pay permit is presented.  110CSR15-63.4.</t>
  </si>
  <si>
    <t>*  Warranty for taxable tangible personal property is taxable, the repair is taxable only if charged to customer (deductible).</t>
  </si>
  <si>
    <t xml:space="preserve">*  Services rendered under extended warranty are taxable. Services rendered under standard warranty are not taxable. See WY Dept of Rev Rules, Chap 2, Sec 13(nn). See also Warranty Bulletin. </t>
  </si>
  <si>
    <t xml:space="preserve">    Service contracts sold at the time of sale of TPP.</t>
  </si>
  <si>
    <t>*  Materials taxed at 4% to service providers.</t>
  </si>
  <si>
    <t>* Taxable if service contracts provide for the future performance of or payment for services that are subject to sales tax.</t>
  </si>
  <si>
    <t>*  Generally exempt if optional and separately stated.</t>
  </si>
  <si>
    <t>*Taxable if mandatory.  An optional service contract is not subject to tax.</t>
  </si>
  <si>
    <t>*  Taxable unless separately stated and optional</t>
  </si>
  <si>
    <t>*  Taxable if mandatory; exempt if elected.</t>
  </si>
  <si>
    <t>*  Optional maintenance contracts are subject to sales tax, but the consumables provided are not; optional warranty contracts are not subject to sales tax, but the consumables provided are.</t>
  </si>
  <si>
    <t>*Unless part of gross receipts as the condition of the sale of TPP.</t>
  </si>
  <si>
    <t>*  Contracts structured as insurance policies are not subject to sales tax.</t>
  </si>
  <si>
    <r>
      <t xml:space="preserve">*  Exempt if optional and separately stated </t>
    </r>
    <r>
      <rPr>
        <sz val="14"/>
        <color rgb="FFFF0000"/>
        <rFont val="Arial"/>
        <family val="2"/>
        <scheme val="minor"/>
      </rPr>
      <t>(except for extended service contracts for automobiles &amp; trucks, which are subject to 5/5% sales tax)</t>
    </r>
  </si>
  <si>
    <t>*  Part of taxable price if required as a condition of sale or lease.</t>
  </si>
  <si>
    <t>* Exempt if optional at time of purchase.</t>
  </si>
  <si>
    <t>*  Exempt if separately stated and an option to the customer.</t>
  </si>
  <si>
    <t>* Exempt provided charge is separately stated from price of the taxable item. Maintenance contracts that include the replacement of consumable parts at scheduled intervals (such as those sold with commercial printer/copiers) would be taxable as a bundled transaction.</t>
  </si>
  <si>
    <t>* Only exempt if service contract is optional and is seperatly stated from the price of the tangible personal property.</t>
  </si>
  <si>
    <t>* Plus local taxes</t>
  </si>
  <si>
    <t>*Some exemptions apply in accordance with G.S. 105-164.4I</t>
  </si>
  <si>
    <t>*  Parts &amp; materials subject to use tax.</t>
  </si>
  <si>
    <t xml:space="preserve">* Exempt only if separately stated and optional to the purchaser. </t>
  </si>
  <si>
    <t>* Certain motor vehicle service contract are exempt. Certain computer software service contract are not taxable. See SC Revenue Ruling #11-1, SC Revenue Ruling #11-2, SC Revenue Ruling #93-6, and SC Revenue Ruling #03-5.</t>
  </si>
  <si>
    <t>*  Sale of warranty agreement is taxable.</t>
  </si>
  <si>
    <r>
      <t xml:space="preserve">*  Labor only contracts are exempt.  </t>
    </r>
    <r>
      <rPr>
        <sz val="14"/>
        <color rgb="FFFF0000"/>
        <rFont val="Arial"/>
        <family val="2"/>
        <scheme val="minor"/>
      </rPr>
      <t>Parts only contracts are taxable at the rate of 5.3%. One-half the charge for parts and labor contracts are taxable at 5.3%.</t>
    </r>
  </si>
  <si>
    <t>*  Taxable if underlying property is tangible personal property that is taxable.  If the underlying property is permanently affixed to real property, the contract is taxable if the buyer's purchase of the property was subject to tax (e.g., purchase of tangible personal property that was subsequently affixed to real property).</t>
  </si>
  <si>
    <t>*  Sale of extended warranty not taxable. Sale of standard warranty taxable. See WY Dept of Rev Rules, Chap 2, Sec 13(nn). See also Warranty Bulletin.</t>
  </si>
  <si>
    <t xml:space="preserve">    Installation charges by persons selling property</t>
  </si>
  <si>
    <t>*  Exempt if separately stated except for the specific property taxable under A.C. A 26-52-301. See list at 168</t>
  </si>
  <si>
    <t>*  May be taxable under the prime contracting classification if the installation constitutes an addition to real property.</t>
  </si>
  <si>
    <t>*  If the installation charge is made in connection with the sale of a new and complete item the installation charge shall not be taxable if separately stated.</t>
  </si>
  <si>
    <t>*  Installer responsible for tax on tangible personal property.</t>
  </si>
  <si>
    <t>*  Separately stated installation labor is not taxable.  If labor is not separately stated, tax applies to the total charge.</t>
  </si>
  <si>
    <t>*  Exempt provided the labor charges are separately stated and performed subsequent to the transfer of the property.</t>
  </si>
  <si>
    <r>
      <t>*  Electrical and electronic installation is taxable</t>
    </r>
    <r>
      <rPr>
        <sz val="14"/>
        <color rgb="FFFF0000"/>
        <rFont val="Arial"/>
        <family val="2"/>
        <scheme val="minor"/>
      </rPr>
      <t>. Installation may also involve other taxable enumerated services. Installation is exempt if</t>
    </r>
    <r>
      <rPr>
        <sz val="14"/>
        <rFont val="Arial"/>
        <family val="2"/>
        <scheme val="minor"/>
      </rPr>
      <t xml:space="preserve"> performed on or in connection with the new construction, reconstruction, alteration, expansion or in connection with industrial machinery installation.</t>
    </r>
  </si>
  <si>
    <t>*  Installation of parts for the repair of tangible personal property are considered taxable repairs.</t>
  </si>
  <si>
    <r>
      <t xml:space="preserve">*  Installation of telecommunications equipment is taxable </t>
    </r>
    <r>
      <rPr>
        <sz val="14"/>
        <color rgb="FFFF0000"/>
        <rFont val="Arial"/>
        <family val="2"/>
        <scheme val="minor"/>
      </rPr>
      <t>under Service Provider Tax.</t>
    </r>
  </si>
  <si>
    <t>*  Only if separately stated and not fabrication.</t>
  </si>
  <si>
    <t>* Taxable if incurred prior to the transfer of ownership.  See MCL 205.51(1)(d)(v).</t>
  </si>
  <si>
    <t xml:space="preserve">* If the item being sold is taxable, charges by the seller to install it are also taxable. </t>
  </si>
  <si>
    <t xml:space="preserve">*  Taxable at same rate as sale of tangible personal property. </t>
  </si>
  <si>
    <t>*  Installation labor exempt if separately stated.</t>
  </si>
  <si>
    <t>* Taxable except when results in an exempt capital improvement.</t>
  </si>
  <si>
    <t>*  Installations resulting in a capital improvement to real property are exempt.</t>
  </si>
  <si>
    <t>*Some exceptions apply relative to real property contracts taxed in accordance with G.S. 105-164.4H.</t>
  </si>
  <si>
    <t>* Excludes assembly or fabrication of good being sold.</t>
  </si>
  <si>
    <t>* Installation charges exempt if separately stated. See SC Regulation 117-313.3</t>
  </si>
  <si>
    <t>*  Excise taxable at 2% if realty improvement.</t>
  </si>
  <si>
    <t>* If remains tangible personal property upon installation the labor charges are taxable.  If becomes real property upon installation, then labor exempt.</t>
  </si>
  <si>
    <t>* Installation charges connected to the sale of tangible personal property are taxable.</t>
  </si>
  <si>
    <r>
      <t xml:space="preserve">* </t>
    </r>
    <r>
      <rPr>
        <sz val="14"/>
        <color rgb="FFFF0000"/>
        <rFont val="Arial"/>
        <family val="2"/>
        <scheme val="minor"/>
      </rPr>
      <t xml:space="preserve"> Taxable if part of repair of tangible personal property</t>
    </r>
    <r>
      <rPr>
        <sz val="14"/>
        <rFont val="Arial"/>
        <family val="2"/>
        <scheme val="minor"/>
      </rPr>
      <t xml:space="preserve">, exempt if charge is to install personal property into real property </t>
    </r>
    <r>
      <rPr>
        <sz val="14"/>
        <color rgb="FFFF0000"/>
        <rFont val="Arial"/>
        <family val="2"/>
        <scheme val="minor"/>
      </rPr>
      <t>or original installation to other tangible personal property</t>
    </r>
    <r>
      <rPr>
        <sz val="14"/>
        <rFont val="Arial"/>
        <family val="2"/>
        <scheme val="minor"/>
      </rPr>
      <t>.</t>
    </r>
  </si>
  <si>
    <t>*  Installation charges are exempt if they are separately stated.</t>
  </si>
  <si>
    <t>*  Installation services exempt if separately stated.</t>
  </si>
  <si>
    <t>*  Installation of tangible personal property taxable.  Installation of real property nontaxable.</t>
  </si>
  <si>
    <t xml:space="preserve">*  W.S. 39-15-103(a)(i)(J) imposes tax on services that repair, alter or improve  tangible personal property but does not impose sales tax on services that repair, alter, improve or construct real property. See WY Dept of Rev Rules, Chap 2, Sec 13(p) regarding installation of tangible personal property. See WY Dept of Rev Rules, Chap 2, Sec 10(c). </t>
  </si>
  <si>
    <t xml:space="preserve">    Installation charges - other than seller of goods</t>
  </si>
  <si>
    <t>*  Except services taxable under A.C.A. 26-52-301.  See list at 168</t>
  </si>
  <si>
    <t>*  Taxable if any parts or materials are furnished by installer.</t>
  </si>
  <si>
    <t>*  Charges considered fabrication of tangible personal property are subject to sales tax.</t>
  </si>
  <si>
    <t>*  If not fabrication.</t>
  </si>
  <si>
    <t>* Installation charges by a third party are taxable if the charges would have been taxable if provided by the seller of the taxable item.</t>
  </si>
  <si>
    <t>*  Taxable if a taxable service is involved; exempt if not.</t>
  </si>
  <si>
    <t>* Taxable if installation involves assembly, repair, remodeling, or restoration of tangible personal property or nonresidential real property.</t>
  </si>
  <si>
    <t>*  If tangible personal property.</t>
  </si>
  <si>
    <t xml:space="preserve">    Custom processing (on customer's property)</t>
  </si>
  <si>
    <t>*  Not certain, without better explanation of service.</t>
  </si>
  <si>
    <t xml:space="preserve">* Depends on what is meant by "processing."  If the purpose of the labor is to fabricate a new product, the labor is taxable.  If the purpose is to restore property to its original state, the labor is for repair and is not taxable. </t>
  </si>
  <si>
    <t>*   Added fabrication is taxable.</t>
  </si>
  <si>
    <t>* Unclear what this transaction entails</t>
  </si>
  <si>
    <t>*  Fabrication labor is subject to the tax.</t>
  </si>
  <si>
    <t>*  Processing labor taxable.</t>
  </si>
  <si>
    <t>*  Unless a taxable enumerated service.</t>
  </si>
  <si>
    <r>
      <t xml:space="preserve">*  Taxable fabrication service </t>
    </r>
    <r>
      <rPr>
        <sz val="14"/>
        <color rgb="FFFF0000"/>
        <rFont val="Arial"/>
        <family val="2"/>
        <scheme val="minor"/>
      </rPr>
      <t>(under Service Provider Tax).</t>
    </r>
  </si>
  <si>
    <t>*  Fabrication of customer's property is taxable.</t>
  </si>
  <si>
    <t>* If fabrication labor is involved, the sale is taxable.</t>
  </si>
  <si>
    <t>*  Custom creosoting or treating, custom meat processing, custom planning and custom sawing taxed at 7%.  Taxable custom processing includes laundering, cleaning and pressing.  All other custom processing services are exempt.</t>
  </si>
  <si>
    <t>* Considered fabrication.</t>
  </si>
  <si>
    <t>* Unless performed on real property</t>
  </si>
  <si>
    <t>*  Considered fabrication labor.</t>
  </si>
  <si>
    <t>*  Taxable if constitutes repair.</t>
  </si>
  <si>
    <t>*  Tax applies to charges for fabrication of tangible personal property.</t>
  </si>
  <si>
    <t xml:space="preserve">*  W.S. 39-15-103(a)(i)(J) imposes tax on services that repair, alter or improve  tangible personal property. See WY Dept of Rev Rules, Chap 2, Sec 13(v) regarding meat cutting.
</t>
  </si>
  <si>
    <t xml:space="preserve">    Custom meat slaughtering, cutting and wrapping</t>
  </si>
  <si>
    <t>*  Packing material sold for use in agricultural, livestock, or dairy production is exempt. Packing material sold to retailers or manufacturers fo the purpose of packaging or facilitating the transportation of tangible personal property sold at retailis also exempt.</t>
  </si>
  <si>
    <t>*  Qualifies under exemption of food for home consumption.</t>
  </si>
  <si>
    <t>* Considered food under USDA guidelines.</t>
  </si>
  <si>
    <t>*  Unless for sale</t>
  </si>
  <si>
    <t>* Fabrication of animal meat, grains, vegetables, or other foodstuffs is exempt when the purchaser (i) supplies the foodstuffs and they are consumed by the purchaser or his family, (ii) is a nonprofit organization, or (iii) donates the foodstuffs to a nonprofit organization.</t>
  </si>
  <si>
    <t xml:space="preserve">    Taxidermy</t>
  </si>
  <si>
    <t>* Taxidermist is consumer of materials used (i.e., tax applies on sale to taxidermist) unless a separate charge is made for materials.</t>
  </si>
  <si>
    <t>* Finished product treated as a sale of tangible personal property</t>
  </si>
  <si>
    <t>*See SC Regulation 117-308.14</t>
  </si>
  <si>
    <t>*  W.S. 39-15-103(a)(i)(J) imposes tax on services that repair, alter or improve  tangible personal property. See Taxidermy Publication.</t>
  </si>
  <si>
    <t xml:space="preserve">    Welding labor (fabrication and repair)</t>
  </si>
  <si>
    <t>*  Identifiable parts and materials only taxable.</t>
  </si>
  <si>
    <t>*  Welding of non-mechanical or passive items that will be permanently affixed to real property will be non-taxable. Flooring alteration will remain taxable.</t>
  </si>
  <si>
    <t>*  Generally exempt, such that only the sales of the parts and materials are taxable, but the labor may be taxable if it constitutes prime contracting.</t>
  </si>
  <si>
    <t xml:space="preserve">*   Fabrication labor is taxable, but not repairs.  </t>
  </si>
  <si>
    <t>*  Fabrication labor taxable, repair of existing unit exempt</t>
  </si>
  <si>
    <t>*   Could be considered manufacturing, or contracting, or a service depending on the situation.</t>
  </si>
  <si>
    <t>*  Repair exempt; fabrication taxable.</t>
  </si>
  <si>
    <t>*  Fabrication of product before sale is taxable.</t>
  </si>
  <si>
    <t>*  Fabrication taxable; repair exempt.</t>
  </si>
  <si>
    <r>
      <t xml:space="preserve">*  Fabrication service taxable </t>
    </r>
    <r>
      <rPr>
        <sz val="14"/>
        <color rgb="FFFF0000"/>
        <rFont val="Arial"/>
        <family val="2"/>
        <scheme val="minor"/>
      </rPr>
      <t>(under Service Provider Tax)</t>
    </r>
    <r>
      <rPr>
        <sz val="14"/>
        <color indexed="8"/>
        <rFont val="Arial"/>
        <family val="2"/>
        <scheme val="minor"/>
      </rPr>
      <t>; repair service exempt.</t>
    </r>
  </si>
  <si>
    <t>*  Fabrication of new item taxable.  Repair exempt.</t>
  </si>
  <si>
    <t>*  Exempt if service is performed on the customer's property.  Fabricating a product to a customer's specifications constitutes taxable sale of tangible property.</t>
  </si>
  <si>
    <t>* Fabrication taxable, repairs exempt.</t>
  </si>
  <si>
    <t>*  Use tax on materials.  Repair exempt; fabrication taxable.</t>
  </si>
  <si>
    <t xml:space="preserve">*Fabrication labor is part of sales price of tangible personal property.  Repair labor taxable unless exemption applies.  </t>
  </si>
  <si>
    <t>*  Service to real estate is exempt.</t>
  </si>
  <si>
    <t>*  Repair is exempt; fabrication is taxable.</t>
  </si>
  <si>
    <t>* Taxable if part of cost to make tangible property. See SC Regulation 117-313</t>
  </si>
  <si>
    <t>*  Only if performed on personal property.</t>
  </si>
  <si>
    <t>*  "Fabrications" is taxable at 6%.</t>
  </si>
  <si>
    <t>*  Fabrication which does not involve repair is taxable.</t>
  </si>
  <si>
    <t>*  W.S. 39-15-103(a)(i)(J) imposes tax on services that repair, alter or improve  tangible personal property. See WY Dept of Rev Rules, Chap 2, Sec 13(s) regarding machine shops and welding services.</t>
  </si>
  <si>
    <t>OTHER TAXED SERVICES</t>
  </si>
  <si>
    <t xml:space="preserve">   Do you impose sales tax on other services not listed?</t>
  </si>
  <si>
    <t>*  Mobile Communication Services Tax at 6%; tax basis -- recurring access charges and local air time only.</t>
  </si>
  <si>
    <t>*  alarm monitoring, body piercing, electrolysis, pet kennel services, industrial laundry services, locksmith services, pager services, cleaning parking lots &amp; gutters, &amp; tattooing, non-residential lawn care, landscaping, collection and disposal of solid waste, boat storage and docking, cleaning of structures</t>
  </si>
  <si>
    <t>*  Additional transaction privilege tax classifications not discussed above include the publication (business of publishing periodicals/publications in this state), pipeline (operating pipelines for intrastate transport of oil, natural, or artificial gas), private car line (intrastate operation of railcars), restaurant, and owner builder sales (selling real property as improved on or before 24 months after substantial completion of the improvement) classifications.  The tax rate for each of these classifications is 5.6%.</t>
  </si>
  <si>
    <t>*  Charges for services which are required as a condition of a sale of TPP are generally taxable.  Otherwise charges for services  are not taxable.</t>
  </si>
  <si>
    <t>*  Restaurant meals.</t>
  </si>
  <si>
    <t>*  Painting and lettering services, credit information and reporting, photographic studio services, stenographic services, piped in music services, flight instruction services, sales agent services, locksmith services, landscaping and horticulture services, furniture reupholstering, miscellaneous personal services listed in industry group 729 in the SIC manual or U.S. industries 532220, 812191, 812199 or 812990 in the NAICS manual, cosmetic medical services, manicure and pedicure, spa services</t>
  </si>
  <si>
    <t>*  Leasing commercial property (office buildings); $100,000 per month excluded.</t>
  </si>
  <si>
    <t>*  Minor adjustments under Real Property Maintenance are taxable.</t>
  </si>
  <si>
    <t>*  Service warranties for tangible personal property, regardless of whether parts are provided, are taxable.</t>
  </si>
  <si>
    <t>*  General Excise Tax is applicable to any service business or calling.</t>
  </si>
  <si>
    <t>*  Services agreed to be rendered as a part of the sale of tangible personal property are taxable.</t>
  </si>
  <si>
    <t>*  Indiana imposes a tax of twenty cents ($.20) on each admission charge to enter a pari-mutuel facility, payable by the permit holder or facility operator.</t>
  </si>
  <si>
    <r>
      <t xml:space="preserve">*  Reflexology.  Sewage services to nonresidential commercial solid waste collection and disposal services of nonresidential commercial operations. </t>
    </r>
    <r>
      <rPr>
        <sz val="14"/>
        <color rgb="FFFF0000"/>
        <rFont val="Arial"/>
        <family val="2"/>
        <scheme val="minor"/>
      </rPr>
      <t>The full list of taxable enumerated services is contained in Iowa Code section 423.2(6)(a).</t>
    </r>
  </si>
  <si>
    <t>*  Sales tax on the service of installing and applying except when in connection with the original construction of a building or facility or in remodeling a residence.  Both state and local sales tax on the service of repairing, servicing, altering or maintaining tangible property.</t>
  </si>
  <si>
    <t>*  KRS 139.200(2)(g)-distribution, transmission, or transportation services for natural gas for storage or use in this state, except for residential use or for resale.</t>
  </si>
  <si>
    <t>*  Transmission and distribution of electricity and prepaid calling arrangements.</t>
  </si>
  <si>
    <t>*  Custom calling services such as call waiting.</t>
  </si>
  <si>
    <t>*  Mattress renovating (see sec. 27-65-23)</t>
  </si>
  <si>
    <t>*  Satellite programming taxable; telephone and cable installation charges taxable.</t>
  </si>
  <si>
    <t>*  Services are not subject to sales tax.  However, tangible personal property used to provide the service may make the entire transaction taxable unless it is repair labor, installation labor, and seperately stated.</t>
  </si>
  <si>
    <t>*  RSA 78-A, Meals &amp; Rooms Tax</t>
  </si>
  <si>
    <r>
      <t xml:space="preserve">Services are exempt unless specifically enumerated in </t>
    </r>
    <r>
      <rPr>
        <u/>
        <sz val="14"/>
        <rFont val="Arial"/>
        <family val="2"/>
        <scheme val="minor"/>
      </rPr>
      <t xml:space="preserve">N.J.S.A. </t>
    </r>
    <r>
      <rPr>
        <sz val="14"/>
        <rFont val="Arial"/>
        <family val="2"/>
        <scheme val="minor"/>
      </rPr>
      <t>54:32B-3(b).</t>
    </r>
  </si>
  <si>
    <t>*  All goods and services are taxable unless specifically exempt or deductible.</t>
  </si>
  <si>
    <t>*  Animal cleaning.</t>
  </si>
  <si>
    <t xml:space="preserve">*  Fabrication labor services taxable.  </t>
  </si>
  <si>
    <t>* Charges for certain communication services (see SC Revenue Ruling #06-8); Charges for laundering</t>
  </si>
  <si>
    <t>*  All goods and services are taxable unless specifically exempt.</t>
  </si>
  <si>
    <t>*   Enriching of uranium materials, compounds or products.</t>
  </si>
  <si>
    <r>
      <t xml:space="preserve">* All services listed in Tex. Tax Code Sec. 151.0101 are taxable. </t>
    </r>
    <r>
      <rPr>
        <strike/>
        <sz val="14"/>
        <color rgb="FFFF0000"/>
        <rFont val="Arial"/>
        <family val="2"/>
        <scheme val="minor"/>
      </rPr>
      <t>Section 151.0101(a)(17), Texas Tax Code, includes in taxable services the sale by a transmission and distribution utility, as defined in Tex. Util. Code §31.002, of transmission or delivery of service directly to an electricity end-use customer whose consumption of electricity is subject to tax under Tex. Tax Code ch. 151.</t>
    </r>
  </si>
  <si>
    <t>*  Most services in connection with the sale, rental, repair, etc. of tangible personal property (TPP).</t>
  </si>
  <si>
    <t>*  Meals are subject to the Retail Sales and Use Tax; Watercraft leases and charters are subject to the Watercraft Sales and Use Tax (2%).</t>
  </si>
  <si>
    <t>*  Certain participatory recreational activities (e.g., golf green fees)</t>
  </si>
  <si>
    <t xml:space="preserve">*  Photographic services, including taking photographs and video taping (sec. 77.52(2)(a)7., Wis. Stats.).  Ancillary services (sec. 77.52(2)(a)5.c., Wis. Stats.).  Telecommunications message services (sec. 77.52(2)(a)5m., Wis. Stats.). </t>
  </si>
  <si>
    <t>*  beginning January 1, 2018, the sale of "specified digital products" will become subject to tax; the term"specified digital produts" includes digital audio works, digital audio/visual works, and digital books, as well as digital codes used towards the purchase of the aforementioned items.</t>
  </si>
  <si>
    <t>*  Bottled water delivery</t>
  </si>
  <si>
    <t xml:space="preserve">*  Tax imposed at 6% rate of total sales price or cost price of the sale at retail or use in Florida of nonresidential pest control services described in  Rule 12A-1.0091, F.A.C.  Non residential cleaning services described in Rule 12A-1.0091, F.A.C. </t>
  </si>
  <si>
    <t>*  Indiana imposes an excise tax of ten percent (10%) of the wholesale price for distribution of pull-tabs, punchboards, and tip boards payable by the distributor.</t>
  </si>
  <si>
    <t>*  KRS 139.531- Fees paid for breeding a stallion to a mare.</t>
  </si>
  <si>
    <t>*  Also impose service provider tax on private nonmedical institution services, community support services for persons with mental health diagnoses, community support services for persons with mental retardation or autism, home support services and group residential services for persons with brain injuries.</t>
  </si>
  <si>
    <t>* State Hotel Occupancy Fee, imposed on rental of a room in hotels or similar facility</t>
  </si>
  <si>
    <t xml:space="preserve">    State hotel tax, local hotel tax, and state sales tax apply to the full cost of rental of rooms by room resellers (i.e., Expedia) and hosting platforms (i.e., AirBnB).</t>
  </si>
  <si>
    <t>*  dry cleaning and pressing services (see SC Regulation 117-303); Charges for the sale or renewal of warranty, maintenance and similar contracts for tangible personal property (See SC Revenue Ruling #11-1, SC Revenue Ruling #11-2, SC Revenue Ruling #93-6, and SC Revenue Ruling #03-5)</t>
  </si>
  <si>
    <t>*  Sales of short-term rental of space for making sales.</t>
  </si>
  <si>
    <t>*  Admissions, Rentals of Boats, and Sales of Food, Drinks, and Beverages on Boats</t>
  </si>
  <si>
    <t>*  Detective, burglar protection, and other protection services described in Rule 12A-1.0092, F.A.C.  Charge for services performed within state but used or consumed outside state by purchaser is exempt from such tax.  Please see Rule 12A-1.0161, F.A.C.</t>
  </si>
  <si>
    <t>*  Indiana imposes a three dollar ($3) per person river boat gambling admission fee.</t>
  </si>
  <si>
    <t>*  KRS 139.200(2)(d)- prepaid calling service and prepaid wireless calling service.</t>
  </si>
  <si>
    <t>* Tattooing services.</t>
  </si>
  <si>
    <t xml:space="preserve">    Local hotel tax and state sales tax apply to rental of entire dwelling units by homeowners and realtors provided that the rental is for less than 30 consecutive days.</t>
  </si>
  <si>
    <t>*  ; Charges for furnishing accommodations; and Charges for additional guest services at a place furnishing accommodations. Also, services sold in conjunction with the sale of tangible personal property are subject to the tax as part of the "gross proceeds of sales" of the tangible personal property, unless otherwise exempted or excluded.</t>
  </si>
  <si>
    <t xml:space="preserve">*  Sales ancillary services (services associated with or incidental to telecommunications). Ancillary services are subject to 2.5% local rate. </t>
  </si>
  <si>
    <t>Communications services are subject to communications services tax - See Chapter 202, F.S.</t>
  </si>
  <si>
    <r>
      <t xml:space="preserve">TAXATION OF CLOUD COMPUTER SERVICES     </t>
    </r>
    <r>
      <rPr>
        <b/>
        <sz val="14"/>
        <color indexed="10"/>
        <rFont val="Calibri"/>
        <family val="2"/>
      </rPr>
      <t>NEW</t>
    </r>
  </si>
  <si>
    <t>Software as a Services, Generally (Remote Access to Hosted Software)</t>
  </si>
  <si>
    <t>* Exempt as long as they were used through remote access unless there is an option to download the software to a personal or business device located in Alabama.</t>
  </si>
  <si>
    <t>Determination requires review of specific facts of each case.</t>
  </si>
  <si>
    <t>* Depends on the facts and circumstances of each transaction, particularly with regards to the amount of control or possession the purchaser is granted in the software, the object of the transaction, and the ownership rights, if any, the purchaser has in the software.</t>
  </si>
  <si>
    <t>*Exempt provided that it is not an information service.</t>
  </si>
  <si>
    <t>*  Automatic Data Processing when used in business</t>
  </si>
  <si>
    <t>*Taxable as a charge for the ways or means for the transmission of the voice or messages (communications) if charge is to access a website or database to use the software. See SC Code Section 12-36-910 and SC Code Section 12-36-1310, SC Regulation 117-329.4, SC Revenue Ruling #06-8 and SC Private Letter Ruling #14-5.</t>
  </si>
  <si>
    <t>* Taxable as data processing. 20% of the charge for a data proccessing service is exempt.</t>
  </si>
  <si>
    <t>* Use of software in Utah is taxable</t>
  </si>
  <si>
    <t>* Software delivered electronically or downloaded from the cloud does not constitute the sale of tangible personal property and generally not subject to the sales tax.  If any tape, disc, or other tangible personal property is subsequently provided to the customer before or after the electronic download of the software, the software would be taxable.</t>
  </si>
  <si>
    <t>* Exempt as data processing services exemption if access allows the processing, examination or acquisition of data. W. Va. Code 11-15-9(a)(21).</t>
  </si>
  <si>
    <t>*  Such services are not subject to Wisconsin sales or use tax when (1) the persons or the persons' employees who have access to the prewritten computer software are not located on the premises where the equipment/software is located and do not operate the equipment or control its operation, (2) prewritten computer software that is downloaded or physically transferred to the customer or the customer's computers is incidental to the data processing services (that is, used solely to allow access to the service provider's hardware and software), and (3) the service provider is not providing a taxable service (for example, a telecommunications message service) in the transaction.</t>
  </si>
  <si>
    <t xml:space="preserve">  - Remote Access to Hosted Software - Personal Use</t>
  </si>
  <si>
    <r>
      <t xml:space="preserve">* Note: Exempt where there is no delivery of or control over the code that enables the software to operate.  See </t>
    </r>
    <r>
      <rPr>
        <i/>
        <sz val="14"/>
        <color theme="1"/>
        <rFont val="Arial"/>
        <family val="2"/>
        <scheme val="minor"/>
      </rPr>
      <t xml:space="preserve">Auto Owners Insurance Company v Department of Treasury, </t>
    </r>
    <r>
      <rPr>
        <sz val="14"/>
        <color theme="1"/>
        <rFont val="Arial"/>
        <family val="2"/>
        <scheme val="minor"/>
      </rPr>
      <t>313 Mich App 56 (2015)</t>
    </r>
    <r>
      <rPr>
        <sz val="14"/>
        <color theme="1"/>
        <rFont val="Arial"/>
        <family val="2"/>
        <scheme val="minor"/>
      </rPr>
      <t xml:space="preserve"> and the related Notice to Taxpayers on the Department's website.</t>
    </r>
  </si>
  <si>
    <t>* Service provider subject to 5% tax on cost of canned software and hardware located in ND and used to provide service.</t>
  </si>
  <si>
    <t>See remarks for line item #189 above</t>
  </si>
  <si>
    <t>*  SaaS is not taxable, unless the service being provided is a taxable service.</t>
  </si>
  <si>
    <t xml:space="preserve">  - Remote Access to Hosted Software - Business Use</t>
  </si>
  <si>
    <t>*Custom software programming are considered professional services and would not be subject to tax regardless of the manner or the medium of transfer to the customer.</t>
  </si>
  <si>
    <t>*Electronic Information Services when used in business</t>
  </si>
  <si>
    <t>*   SaaS is not taxable, unless the service being provided is a taxable service.</t>
  </si>
  <si>
    <t xml:space="preserve">  - Remote Access to Hosted Business Custom Applications</t>
  </si>
  <si>
    <t>*May be exempt if qualifies as custom computer software.</t>
  </si>
  <si>
    <t>Infrastructure as Service, Generally</t>
  </si>
  <si>
    <t>* Storage/Backup provided through the cloud would not be subject to sales tax in Alabama.</t>
  </si>
  <si>
    <t>*  IaaS is referred to as "data processing services" under 47-2201(a)(1)(K)(i); subject to sales tax @ 5.75% under 47-2201. Sales by Qualified High Technology Companies within the District of intangible property or services otherwise taxable as a retail sale or sale at retail are not subject to tax.  D.C. Code Ann.  §47-2001(n)(2)(G) ; D.C. Mun. Regs. 9  §1111.1 ; D.C. Mun. Regs. 9  §1111.2 .</t>
  </si>
  <si>
    <t>*Any TPP or digital property sold, leased or used in the provision of Infrastructure is taxable.</t>
  </si>
  <si>
    <t xml:space="preserve">*Assumes does not entitle the customer to a specific server capacity located in Missouri. </t>
  </si>
  <si>
    <t xml:space="preserve">* Taxable to extent security services are provided </t>
  </si>
  <si>
    <t>*Exempt provided no tangible personal property is transferred to customer.</t>
  </si>
  <si>
    <t>*Not taxable unless deemed to be charges for the ways or means for the transmission of the voice or messages (communications). See SC Code Section 12-36-910 and SC Code Section 12-36-1310, SC Regulation 117-329.4, SC Revenue Ruling #06-8, SC Private Letter Ruling #14-5, SC Private Letter Ruling #14-2 and SC Private Letter Ruling #14-4.</t>
  </si>
  <si>
    <t>*  Charges for the use of equipment (i.e., servers and other hardware) that the customer has control over and physical access to are taxable.</t>
  </si>
  <si>
    <t xml:space="preserve">  - Personal Cloud Storage/Backup</t>
  </si>
  <si>
    <t>* See note in entry # 193.</t>
  </si>
  <si>
    <t>*See remarks for line item #193 above</t>
  </si>
  <si>
    <t xml:space="preserve">  - Business Cloud Storage/Backup</t>
  </si>
  <si>
    <t>* Physical computer hardware located in Alabama used for business data warehouse applications would be subject to sales tax.  Business data warehouses on which information is stored on hardware located outside of Alabama and accessed remotely would not be subject to sales tax.</t>
  </si>
  <si>
    <t>* Same as above.</t>
  </si>
  <si>
    <t xml:space="preserve">  - Business Data Warehouses</t>
  </si>
  <si>
    <t>5.75/E</t>
  </si>
  <si>
    <t>If the taxpayer puts its own equipment in the warehouses, the rental of real property is exempt.  If the activity is purchasing internet access, the transaction is taxable as electronic information services.  If the taxable internet access is not separately stated, the transaction is taxable.</t>
  </si>
  <si>
    <t xml:space="preserve">  - Ecommerce Site/Webserver Hosting</t>
  </si>
  <si>
    <t>Exempt, unless capacity used on computer hardware physically located in Alabama.</t>
  </si>
  <si>
    <t xml:space="preserve">  - Provision of Virtual Computing Capacity</t>
  </si>
  <si>
    <t>*Additional information as to what the transaction is identifying is necessary for the Department to identify whether this activity is taxable or exempt.</t>
  </si>
  <si>
    <t>ADDITIONAL SALES/USE TAX QUESTIONS</t>
  </si>
  <si>
    <t>B/S</t>
  </si>
  <si>
    <t>*  Either seller or buyer.</t>
  </si>
  <si>
    <t xml:space="preserve">Does your state tax tangible personal property that is </t>
  </si>
  <si>
    <t>*  Property purchased for the purpose of leasing is exempt from sales tax.  (Wholesale sale)</t>
  </si>
  <si>
    <t>*  Tangible personal property purchased for rental or lease can be purchased tax exempt as sale for resale.</t>
  </si>
  <si>
    <t>*  Sales of tangible personal property to persons engaged in leasing or renting such property are not taxable if the property is to be leased or rented.</t>
  </si>
  <si>
    <t>* Generally, a lessor who is not the manufacturer of rental property must report tax on rental or lease receipts.  However, a lessor also has an option to pay tax on the purchase price of the property.  When tax is paid on the purchase price, subsequent lease receipts are not subject to tax.  This option is irrevocable option.  In contrast, a lessor who purchases mobile transportation equipment, (ships, airplanes, buses, trailer trucks, etc.)  for lease is subject to tax on its purchase price.  However, lessors of mobile transportation equipment may also irrevocably elect to report tax on the fair rental value of the property.</t>
  </si>
  <si>
    <t>*  With respect to leases of less than three years, such leases are not taxable sales and the purchase of the TPP for lease is therefore taxable. The lessor may elect to purchase the TPP tax free and subsequently charge tax on the leases. The election is binding and must be used with respect to all leased property.</t>
  </si>
  <si>
    <t>*  Tangible personal property to be used exclusively in rental or lease may be purchased on resale.</t>
  </si>
  <si>
    <t>*  Purchaser must provide a valid resale certificate.</t>
  </si>
  <si>
    <t>*  The transaction is taxed on gross lease or rental charges.</t>
  </si>
  <si>
    <t>*  Considered wholesale and taxed at 0.5% when sold to a licensed capital goods leasing company.  Use Tax applicable on importer (lessor) at 0.5%.</t>
  </si>
  <si>
    <t>*  Lessor collects the tax from lessee.</t>
  </si>
  <si>
    <t xml:space="preserve">Lessors of tangible personal property pay Use Tax to their suppliers on their cost </t>
  </si>
  <si>
    <t>*  Tangible personal property bought for rental or leasing qualifies for the "resale" exemption.  (IC 6-2.5 -5-8)</t>
  </si>
  <si>
    <r>
      <t xml:space="preserve">* Property purchased for lease can </t>
    </r>
    <r>
      <rPr>
        <sz val="14"/>
        <color rgb="FFFF0000"/>
        <rFont val="Arial"/>
        <family val="2"/>
        <scheme val="minor"/>
      </rPr>
      <t>generally</t>
    </r>
    <r>
      <rPr>
        <sz val="14"/>
        <rFont val="Arial"/>
        <family val="2"/>
        <scheme val="minor"/>
      </rPr>
      <t xml:space="preserve"> be purchased for resale. </t>
    </r>
    <r>
      <rPr>
        <sz val="14"/>
        <color rgb="FFFF0000"/>
        <rFont val="Arial"/>
        <family val="2"/>
        <scheme val="minor"/>
      </rPr>
      <t>However, if a dealer purchases machinery or equipment for lease or rental to a contractor for use in new construction, or if a dealer purchases certain tangible personal property for lease or rental to a food manufacturer, the dealer may owe sales or use tax on its purchase.</t>
    </r>
  </si>
  <si>
    <t>*  Can be purchased without tax for resale.</t>
  </si>
  <si>
    <t>*  Only if purchased exclusively for resale/re-lease. Dual usage will create taxability on the purchase price and lease stream. See KY Regulation 103 KAR 28:051, Section 5.</t>
  </si>
  <si>
    <t>*  As of 7/1/91.  Tax due on purchases prior to 7/1/1991.</t>
  </si>
  <si>
    <r>
      <t>*  Except furniture, audio media and audio equipment for rental pursuant to a rent-to-own arrangement; and video media and video equipment</t>
    </r>
    <r>
      <rPr>
        <sz val="14"/>
        <color rgb="FFFF0000"/>
        <rFont val="Arial"/>
        <family val="2"/>
        <scheme val="minor"/>
      </rPr>
      <t xml:space="preserve"> (all of which is subject to Service Provider Tax).  Also automobiles, the rentals of which are subject to sales tax.</t>
    </r>
  </si>
  <si>
    <t>*  Resale exclusion applies.</t>
  </si>
  <si>
    <t>* If a resale certificate is provided.</t>
  </si>
  <si>
    <t>*  A lessor may elect to either pay sales/use tax at time of acquisition or collect use tax on rental or lease receipts.  See MCL 205.95(4).</t>
  </si>
  <si>
    <t>* TPP purchased for renting or leasing purposes can be acquired exempt for resale.  Sales tax applies to rental or lease payments.</t>
  </si>
  <si>
    <t>* See rule 35.IV.5.03</t>
  </si>
  <si>
    <t>*  Lessor may pay tax on purchase and lease free of tax or buy the item under resale exemption and collect tax on lease receipts.</t>
  </si>
  <si>
    <t>* Sale for resale in most cases.</t>
  </si>
  <si>
    <t>*  A lessor who purchases tangible personal property may pay tax to vendor on sales price or may provide vendor a resale certificate and pay tax on lease or rental receipts.</t>
  </si>
  <si>
    <t xml:space="preserve">There is no state or local sales tax in New Hampshire. </t>
  </si>
  <si>
    <r>
      <t xml:space="preserve">*  Property purchased for lease or rental can be purchased with a </t>
    </r>
    <r>
      <rPr>
        <sz val="14"/>
        <rFont val="Arial"/>
        <family val="2"/>
        <scheme val="minor"/>
      </rPr>
      <t xml:space="preserve">resale </t>
    </r>
    <r>
      <rPr>
        <sz val="14"/>
        <rFont val="Arial"/>
        <family val="2"/>
        <scheme val="minor"/>
      </rPr>
      <t>certificate.</t>
    </r>
  </si>
  <si>
    <t>*  Receipts from sale of coin-operated machines, mnfg homes, and household furniture and appliances are taxable.  Receipts from the sale of other tangibles sold for subsequent lease are deductible.</t>
  </si>
  <si>
    <t>*  Purchase is exempt for resale.</t>
  </si>
  <si>
    <t>*Property purchased for lease or rental is considered to be purchased for resale.</t>
  </si>
  <si>
    <t>* May be purchased for resale.  Rental or lease payments are taxable.</t>
  </si>
  <si>
    <t>*  May be exempt as purchase for resale.</t>
  </si>
  <si>
    <t>*  Tax is due on gross receipts from lease payments.  Lessor may purchase exempt for resale if they hold a sales tax permit.</t>
  </si>
  <si>
    <t>*  Individual counties do assess personal property tax on business property.</t>
  </si>
  <si>
    <t>*  Resale exemption would apply.  Tax would be due on rental or lease payments.</t>
  </si>
  <si>
    <t>*  Purchaser has option of paying up-front on cost or charging on rental or lease income stream.</t>
  </si>
  <si>
    <t>* If the property is purchased for rental/lease, then it is determined to be a sale at wholesale and not subject to tax. The subsequent rental or lease is subject to the tax.</t>
  </si>
  <si>
    <t>*  Resale.</t>
  </si>
  <si>
    <t>* Lessor may buy property for leasing purposes on a resale certificate.</t>
  </si>
  <si>
    <r>
      <t>* Lessor may claim a resale exemption in lieu of paying tax</t>
    </r>
    <r>
      <rPr>
        <b/>
        <sz val="14"/>
        <color rgb="FFFF0000"/>
        <rFont val="Arial"/>
        <family val="2"/>
        <scheme val="minor"/>
      </rPr>
      <t xml:space="preserve"> on the purchase of the tangible personal property.</t>
    </r>
  </si>
  <si>
    <t>* Purchase qualifies for resale exemption.</t>
  </si>
  <si>
    <t>Resale exemption applies</t>
  </si>
  <si>
    <r>
      <t xml:space="preserve">*  Purchase of equipment for rental or lease is exempt </t>
    </r>
    <r>
      <rPr>
        <sz val="14"/>
        <color rgb="FFFF0000"/>
        <rFont val="Arial"/>
        <family val="2"/>
        <scheme val="minor"/>
      </rPr>
      <t>as a sale for resale</t>
    </r>
    <r>
      <rPr>
        <sz val="14"/>
        <rFont val="Arial"/>
        <family val="2"/>
        <scheme val="minor"/>
      </rPr>
      <t>.  Tax applies to gross proceeds from the rental or lease customer.</t>
    </r>
  </si>
  <si>
    <t>*  Retail sale tax does not apply if purchased for resale, rental or lease.</t>
  </si>
  <si>
    <t>*  Exemptions from certain sale of tangible personal property apply to leases of tangible personal property.</t>
  </si>
  <si>
    <t>*  Considered sale for resale if no other use is made of the property.</t>
  </si>
  <si>
    <t>*  W.S. 39-15-105(a)(iii)(F) exempts wholesale sales, or sales made exclusively for resale, rental or lease. This exemption is only available to licensed vendors.  See WY Dept of Rev Rules, Chap 2, Sec 13(cc) regarding leases and rentals.</t>
  </si>
  <si>
    <t>purchased for rental or lease? (Yes/No) please explain.</t>
  </si>
  <si>
    <t>* Rental for 30 days or more are exempt if the AR sales/use tax was paid on the purchase price.</t>
  </si>
  <si>
    <t>*  Use a Resale Certificate.</t>
  </si>
  <si>
    <t>price of the property purchased for lease, except that, for certain motor vehicles,</t>
  </si>
  <si>
    <t>*  Shipping charges are part of gross receipts and subject to the sales tax unless they are billed to the purchaser directly by a common carrier other than the seller.</t>
  </si>
  <si>
    <t>lessors owe Use Tax on the amount owed under the lease contract, including amounts</t>
  </si>
  <si>
    <t>Does your state tax the gross receipts from tangible</t>
  </si>
  <si>
    <t>*  Gross proceeds from leasing tangible personal property are subject to rental tax.</t>
  </si>
  <si>
    <t>*  Rentals and leases of tangible personal property are taxable under the personal property rental classification.</t>
  </si>
  <si>
    <t>* See answer to No. 199</t>
  </si>
  <si>
    <t>*  See above</t>
  </si>
  <si>
    <t>*  Tax is computed on the periodic rental or lease payments.  All charges except the cost of gasoline, insurance charges when such amounts are separately stated and the lessee has the option to accept and personal property taxes on motor vehicles are part of the gross receipts of the rental or lease payment.</t>
  </si>
  <si>
    <t xml:space="preserve">Sales tax is imposed upon the gross proceeds. </t>
  </si>
  <si>
    <t>*  Taxed on gross lease or rental charges.</t>
  </si>
  <si>
    <t>*  General Excise Tax applicable to rental activity at 4%.</t>
  </si>
  <si>
    <t>due at lease signing and all monthly or other regular payments charged over the term</t>
  </si>
  <si>
    <t>*  Rental and leasing are subject to tax unless the person rents or leases motion picture film, audio tape, or video tape under certain circumstances.</t>
  </si>
  <si>
    <r>
      <t xml:space="preserve">* </t>
    </r>
    <r>
      <rPr>
        <sz val="14"/>
        <color rgb="FFFF0000"/>
        <rFont val="Arial"/>
        <family val="2"/>
        <scheme val="minor"/>
      </rPr>
      <t>A specific exemption may apply.</t>
    </r>
  </si>
  <si>
    <t>*  The lease or rental of tangible personal property is subject to tax.</t>
  </si>
  <si>
    <t>* See KY Regulation 103 KAR 28:051 for further detail.</t>
  </si>
  <si>
    <t>*  Taxable on gross receipts.</t>
  </si>
  <si>
    <r>
      <t xml:space="preserve">*  Except furniture, audio media and audio equipment rented pursuant to a rent-to-own arrangement; and video media and video equipment </t>
    </r>
    <r>
      <rPr>
        <sz val="14"/>
        <color rgb="FFFF0000"/>
        <rFont val="Arial"/>
        <family val="2"/>
        <scheme val="minor"/>
      </rPr>
      <t>(all of which is subject to Service Provider Tax).  Additionally, the rental or lease of automobiles are subject to sales tax.</t>
    </r>
  </si>
  <si>
    <t>*  Rentals are sales for sales tax purposes.</t>
  </si>
  <si>
    <t>* Retail or lease is treated as a sale.</t>
  </si>
  <si>
    <t>* See above.</t>
  </si>
  <si>
    <t>* The state 6.875% general sales tax applies. Additional taxes apply to short term motor vehicle rentals as described in #158.</t>
  </si>
  <si>
    <t>*  Montana does not selectively tax personal property rentals.</t>
  </si>
  <si>
    <t>* Generally, tax is due on each rental or lease of property.</t>
  </si>
  <si>
    <t>Maybe</t>
  </si>
  <si>
    <t xml:space="preserve">RSA 78-A, Meals &amp; Rooms Tax. The tax for the purchase of a taxable meal, rental of a taxable accomodation, or rental of an automobile shall apply to all auxiliary charges unless the consumer can purchase the taxable meal, accomodation or automobile rental without the charge at their election and the charge is seperately stated. </t>
  </si>
  <si>
    <t>*  See "Leases and Rentals" section.</t>
  </si>
  <si>
    <t xml:space="preserve">*  Receipts from lease for subsequent leasing are deductible, except receipts from lease of coin-operated machines, manufactured homes, or household furniture and appliances. Receipts from the lease of tangible property to the user in New Mexico is taxable. </t>
  </si>
  <si>
    <t>* Rentals or leases are included in the definition of "sale."</t>
  </si>
  <si>
    <t>*Sales and use tax is imposed on a lessor's lease or rental receipts.</t>
  </si>
  <si>
    <t>* Exempt if lessor or rentor elects to pay tax on purchase price.</t>
  </si>
  <si>
    <t>Ohio has a privilege tax that is measured by gross receipts. See Ohio's Commercial Activity Tax (CAT) in Chapter 5751 of the Ohio Revised Code.  Receipts from the sale of rentals or leases sitused to Ohio are included in the base.  However,  the CAT is not similar to a sales/use tax.</t>
  </si>
  <si>
    <t>*  Tax is due on gross receipts from lease payments.</t>
  </si>
  <si>
    <t>* PA gross receipts tax applies to sales not uses. In addition, the tax is imposed upon the service provider rather than the customer.  However there is a very limited application. Service providers are subject to gross receipts tax on the following sales to residential and industrial customers: (1) intrastate telephone and telegraph; (2) interstate telephone and telegraph; (3) cellular telephone services; and (4) electricity.</t>
  </si>
  <si>
    <t>* Under the sales and use tax law, the definition of a "sales" includes a lease or rental. As such, the rental or lease fees are subject to the tax.</t>
  </si>
  <si>
    <t>* Leases are specifically taxed.</t>
  </si>
  <si>
    <t>* The leasing of all tangible personal property is subject to tax. Tax is imposed on the monthly or other periodic payment.  Lessor purchases tangible personal property for resale without tax.</t>
  </si>
  <si>
    <r>
      <t xml:space="preserve">Definition of "retail sale" includes the rental or lease of TPP under 32 V.S.A. </t>
    </r>
    <r>
      <rPr>
        <sz val="14"/>
        <rFont val="Calibri"/>
        <family val="2"/>
      </rPr>
      <t>§ 9701(5)</t>
    </r>
  </si>
  <si>
    <t>* Rentals of tangible personal property are generally considered retail sales of tangible personal property and subject to the sales tax.</t>
  </si>
  <si>
    <t>*  B&amp;O tax if property is rented or leased without operator; public utility tax with operator.</t>
  </si>
  <si>
    <t>*  The lessor collects tax when lessee takes delivery of the property.</t>
  </si>
  <si>
    <t>*  Unless a specific exemption applies.  Retail sale definition includes leases.</t>
  </si>
  <si>
    <t>*  Wyoming does not impose a gross receipts tax. W.S. 39-15-103(a)(i)(B) imposes sales tax on the sales price paid on the lease or rental of tangible personal property and it is collected from the lessee/rentee over the course of the lease stream. See WY Dept of Rev Rules, Chap 2, Sec 13(cc) regarding rentals and leases.</t>
  </si>
  <si>
    <t xml:space="preserve">personal property rentals or leases? (Yes/No) Please </t>
  </si>
  <si>
    <t xml:space="preserve">*  The sales tax applies to the rental, lease, license, or right to reproduce or use tangible personality. Royalties or any other type of payment for use of tangible personality are also taxable rentals. D.C. Code Ann.  </t>
  </si>
  <si>
    <t>of the lease.  35 ILCS 120/1.</t>
  </si>
  <si>
    <t>*Gross receipts are not taxable.  However, a vendor's invoice line item for reimbursement of this tax is included in the sales taxable purchase price.</t>
  </si>
  <si>
    <t>explain.</t>
  </si>
  <si>
    <t xml:space="preserve">   </t>
  </si>
  <si>
    <t xml:space="preserve">Does your state tax shipping and delivery charges for </t>
  </si>
  <si>
    <t>*  Taxable if delivered in the seller's vehicle (whether owned or leased).  Exempt if shipping charges are separately stated, and the U.S. Postal Service or other common carrier deliver.</t>
  </si>
  <si>
    <t>*  Freight costs billed to and collected from a purchaser by a retailer for tangible personal property that, upon the retailer's order, is shipped directly from a manufacturer/wholesaler to a purchaser are exempt.  Also, delivery charges by a retailer for delivery from the retailer's location to the purchaser's location are exempt if separately stated.  Nevertheless, freight costs incurred before the time of a retail sale are taxable as part of the gross sale.  Also, bundling "handling" charges with shipping/delivery charges may render gross receipts from both types of fees taxable under the retail classification as part of the business's gross income.</t>
  </si>
  <si>
    <r>
      <t xml:space="preserve">* In general, tax does not apply to separately stated transportation charges to the consumer when delivered by common carrier.  However, separately stated transportation charges on property delivered by the retailer's facilities are generally taxable unless the transportation occurs after passage of title to the customer. </t>
    </r>
    <r>
      <rPr>
        <b/>
        <sz val="14"/>
        <rFont val="Arial"/>
        <family val="2"/>
        <scheme val="minor"/>
      </rPr>
      <t>No</t>
    </r>
    <r>
      <rPr>
        <sz val="14"/>
        <rFont val="Arial"/>
        <family val="2"/>
        <scheme val="minor"/>
      </rPr>
      <t>, tax does not apply to separately stated transportation charges to the consumer when delivered by common carrier as long as the charges do not exceed the actual cost for delivery to the customer.</t>
    </r>
  </si>
  <si>
    <t>*  Unless seperately stated and optional</t>
  </si>
  <si>
    <t xml:space="preserve">*  Shipping and delivery charges for taxable goods are included in the taxable gross receipts   </t>
  </si>
  <si>
    <t>See Rule 12A-1.045, F.A.C.</t>
  </si>
  <si>
    <t>*  Where the delivery expense is passed to the customer.</t>
  </si>
  <si>
    <t>*  General Excise Tax applicable at 4% to retail sales of tangible personal property, including shipping and delivery charges.  Use Tax applicable on landed value of tangible personal property, including these changes.</t>
  </si>
  <si>
    <t>*  Transportation prior to sale is taxable, unless seller uses own delivery vehicles.  Transportation after the sale is not taxable if separately stated.</t>
  </si>
  <si>
    <t xml:space="preserve">Generally, if charges for delivery are not separately stated on the invoice or contract </t>
  </si>
  <si>
    <t xml:space="preserve">*  Delivery charge is taxable if sale of TPP is taxable, and if delivery is made or arranged by seller. </t>
  </si>
  <si>
    <r>
      <t xml:space="preserve">* </t>
    </r>
    <r>
      <rPr>
        <sz val="14"/>
        <color rgb="FFFF0000"/>
        <rFont val="Arial"/>
        <family val="2"/>
        <scheme val="minor"/>
      </rPr>
      <t>Delivery charges are exempt when separately contracted for,  separately stated, and they represent charges that are not the sales price of a taxable sale or of the furnishing of a taxable service.</t>
    </r>
  </si>
  <si>
    <t>*  Shipping and delivery charges are part of the gross receipts of retail sale.</t>
  </si>
  <si>
    <t>* Yes, if the charges are part of the sales price of the taxable TPP. See KRS 139.010(12)(a).</t>
  </si>
  <si>
    <t>*  Not taxable on freight charges from dealer to consumer.</t>
  </si>
  <si>
    <t>*  Exempt if stated separately for direct delivery to the seller by common or contract carrier or the U.S. Postal Service.</t>
  </si>
  <si>
    <t>*  Excluded by statute.</t>
  </si>
  <si>
    <t>* Separately-stated transportation charges to the retail customer are generally not taxable.  See DOR Directive 04-5.</t>
  </si>
  <si>
    <t>* Taxable if incurred prior to the transfer of ownership.  See MCL 205.51(1)(d)(iv) and 205.51a(e).</t>
  </si>
  <si>
    <t>* Delivery charges for the sale of taxable items are taxable at 6.875%. Third party delivery charges are exempt, except delivery charges for aggregate and concrete block if those charges would be taxable if provided by the seller of the aggregate or concrete block.</t>
  </si>
  <si>
    <t>*  Taxable at same rate as sales of tangible personal property, see rule 35.IV.2.03.</t>
  </si>
  <si>
    <t>*All charges such as shipping and delivery incurred by or on behalf of the seller are subject to Missouri sales tax.  If parties intend delivery to be part of the sale of tangible personal property, the delivery charge is subject to tax even when the delivery charge is separately stated.</t>
  </si>
  <si>
    <t>*  In the cases of the liquor excise tax and the tobacco products tax (excluding cigarettes).  The liquor tax is on the retail selling price, the tobacco tax is on the wholesale price.</t>
  </si>
  <si>
    <r>
      <t xml:space="preserve">* Shipping and delivery charges are </t>
    </r>
    <r>
      <rPr>
        <sz val="14"/>
        <color rgb="FFFF0000"/>
        <rFont val="Arial"/>
        <family val="2"/>
        <scheme val="minor"/>
      </rPr>
      <t xml:space="preserve">part of the "Sales Price" and are </t>
    </r>
    <r>
      <rPr>
        <sz val="14"/>
        <rFont val="Arial"/>
        <family val="2"/>
        <scheme val="minor"/>
      </rPr>
      <t>subject to tax when the item sold is taxable and when collected by the retailers.</t>
    </r>
  </si>
  <si>
    <t xml:space="preserve">freight, shipping and postage is not taxable if separately stated. Handling, crating , or packaging is taxable even if separately stated. </t>
  </si>
  <si>
    <t>*  If charged by seller of tangible personal property on taxable items.</t>
  </si>
  <si>
    <t>*  Delivery or shipping charges are an element of the sales price of the tangible personal property, and is taxed as receipts from the sale of property.</t>
  </si>
  <si>
    <t>*  Delivery charge is considered part of receipt subject to tax for taxable tangible personal property.</t>
  </si>
  <si>
    <t>*Yes</t>
  </si>
  <si>
    <t xml:space="preserve">Delivery charges are part of the sales price of tangible personal property sold; there is an exemption for delivery charges for direct mail provided the delivery charge is separately stated on the invoice or other documentation given to the purchaser at the time of the sale. </t>
  </si>
  <si>
    <t>* If charged by seller of the tangible personal property.</t>
  </si>
  <si>
    <t xml:space="preserve">*  Shipping and delivery charges made in conjunction with the sale of tangible personal property are subject to sales tax. </t>
  </si>
  <si>
    <t>*  If occurring prior to title's passage, only if the item sold is taxable.</t>
  </si>
  <si>
    <t xml:space="preserve">*  Charges for delivery made via the seller's vehicle are always taxable.  If the delivery is by common carrier, it is taxable if F.O.B. point of destination. See SC Regulation 117-310. </t>
  </si>
  <si>
    <t>*  Amount included in the retailer's charges to purchaser of tangible personal property are included in taxable receipts.</t>
  </si>
  <si>
    <t>*If an item of tangible personal property is subject to sales and use tax, the delivery charge made by the seller for delivering the property is subject to sales and use tax. If an item of tangible personal property is not subject to sales and use tax, then the delivery charge made by the seller is not subject to sales and use tax. If an item of tangible personal is delivered by an independent third party hired by the buyer then the delivery charge is not part of the sale price of a taxable product is not subject to tax.</t>
  </si>
  <si>
    <t>* If purchaser makes separate shipping arrangements, the charges are exempt.</t>
  </si>
  <si>
    <t>Definition of "sales price" includes delivery charges under 32 V.S.A. 9701(4)(A)(iv)</t>
  </si>
  <si>
    <r>
      <t xml:space="preserve">*  Freight-in is considered part of the merchandise sold and is therefore taxable.  Freight-out is not considered part of the merchandise cost, therefore exempt if separately stated.  If not separately stated entire amount taxable.  </t>
    </r>
    <r>
      <rPr>
        <sz val="14"/>
        <color rgb="FFFF0000"/>
        <rFont val="Arial"/>
        <family val="2"/>
        <scheme val="minor"/>
      </rPr>
      <t>Handling charges also are taxable.</t>
    </r>
  </si>
  <si>
    <t>*  If retail sales tax applies to sale of property, retail sales tax will generally apply to delivery charges.</t>
  </si>
  <si>
    <t>*  Unless the delivery charge is provided by a common carrier subject to PSC regulation, and the customer pays delivery charges directly to the common carrier.</t>
  </si>
  <si>
    <t>*  If transportation occurs prior to the sale (i.e., transfer of possession from seller or seller's agent to buyer or buyer's agent; common carrier/U.S. Mail is agent of seller).</t>
  </si>
  <si>
    <t>*  W.S. 39-15-105(a)(viii)(A)(II) and W.S. 39-15-105(a)(ii)(A) exempts the intrastate and interstate transportation of freight associated with a retail sale when separately stated. See Freight Bulletin. See WY Dept of Rev Rules Chap 2, Sec 5(i).</t>
  </si>
  <si>
    <t>tangible personal property? (Yes/No) Please explain.</t>
  </si>
  <si>
    <t>https://www.boe.ca.gov/formspubs/pub100/</t>
  </si>
  <si>
    <t>*  Delivery charges are taxable when the delivery originates and terminates in DC.</t>
  </si>
  <si>
    <t xml:space="preserve">they are taxable.  If charges for delivery are separately stated, the charges are taxable </t>
  </si>
  <si>
    <t>unless the purchaser has the option to pick up the item or the purchaser is offered or</t>
  </si>
  <si>
    <t xml:space="preserve">     Totals</t>
  </si>
  <si>
    <t>RI*</t>
  </si>
  <si>
    <t>OK</t>
  </si>
  <si>
    <t>Median</t>
  </si>
  <si>
    <t>Items we don't tax that many states do (# states in parentheses)</t>
  </si>
  <si>
    <t>NOTE OK responses from 2007 so the info service responses might be updated.</t>
  </si>
  <si>
    <t xml:space="preserve">        Agricultural Services</t>
  </si>
  <si>
    <t>Pet grooming (21), landscaping (20)</t>
  </si>
  <si>
    <t xml:space="preserve">        Industrial and mining services</t>
  </si>
  <si>
    <t xml:space="preserve">        Construction</t>
  </si>
  <si>
    <t>Carpentry, painting, plumbing, etc. (13)</t>
  </si>
  <si>
    <t xml:space="preserve">        Utilities</t>
  </si>
  <si>
    <t>Industrial use water (13)&amp; Sewer (12). OK taxes all other industrial use utilities. Residential use gas and electricity (22). OK taxes local but not state.</t>
  </si>
  <si>
    <t xml:space="preserve">        Transportation</t>
  </si>
  <si>
    <t>Taxi service (9)</t>
  </si>
  <si>
    <t xml:space="preserve">        Storage</t>
  </si>
  <si>
    <t xml:space="preserve">        F.I.R.E.</t>
  </si>
  <si>
    <t xml:space="preserve">        Personal services</t>
  </si>
  <si>
    <t>Diaper service (22), carpet and upholstery cleaning (20), garment services (20)</t>
  </si>
  <si>
    <t xml:space="preserve">        Business services</t>
  </si>
  <si>
    <t>Sign construction and installation (32), tire recap and repair (28), telephone answering service (20), security services (19), window cleaning (19)</t>
  </si>
  <si>
    <t xml:space="preserve">        Computer services</t>
  </si>
  <si>
    <t>Custom software materials (20) and labor (14)</t>
  </si>
  <si>
    <t xml:space="preserve">       Computer Online Services</t>
  </si>
  <si>
    <t>Downloaded software (34), books (28), movies (28), other (23)</t>
  </si>
  <si>
    <t xml:space="preserve">        Automotive services</t>
  </si>
  <si>
    <t>Rustproofing (26), services excluding repairs (25), washing and waxing (24), road services and towing (20)</t>
  </si>
  <si>
    <t xml:space="preserve">        Admissions and amusements</t>
  </si>
  <si>
    <t>Prof. sports admissions (OK exempt for specific sports)(36), cable tv (26), satellite TV (25)</t>
  </si>
  <si>
    <t xml:space="preserve">        Professional services</t>
  </si>
  <si>
    <t xml:space="preserve">        Leases</t>
  </si>
  <si>
    <t>Long-term auto lease (42), aircraft rental (39) trailer parks overnight (29)</t>
  </si>
  <si>
    <t xml:space="preserve">        Fabrication, repair and installation</t>
  </si>
  <si>
    <t>Custom processing (27), labor on repairs to radio/TV (25), vehicles (25), other tangible property (25), installation by persons selling the product (23), and other than seller (19)</t>
  </si>
  <si>
    <t xml:space="preserve">        Miscellaneous</t>
  </si>
  <si>
    <t xml:space="preserve">      Non-exempt entries</t>
  </si>
  <si>
    <t>&gt;0</t>
  </si>
  <si>
    <t>OK Policy analysis of data from Federation of Tax Administrators</t>
  </si>
  <si>
    <t>Reform the corporate income tax for a global economy</t>
  </si>
  <si>
    <t>Share of total state income taxes from corporate income tax</t>
  </si>
  <si>
    <t>State Minimum Corporate Income Taxes</t>
  </si>
  <si>
    <t>LA</t>
  </si>
  <si>
    <t>NM</t>
  </si>
  <si>
    <t>REGION MEDIAN</t>
  </si>
  <si>
    <t>Calculated by OK Policy from Institute of Taxation and Economic Policy, "Who Pays: A dstributional Analysis of the Tax Systems in All 50 States", 1st-6th editions, 1995-2018.</t>
  </si>
  <si>
    <t>Average income of lowest 20%</t>
  </si>
  <si>
    <t>Taxes as % of income, lowest 20%</t>
  </si>
  <si>
    <t>Highest 20% -ITEP reports separately on 1%, 2-5%, and 6-20%. This section calculates the average of the three</t>
  </si>
  <si>
    <t>Average income of highest 6-20%</t>
  </si>
  <si>
    <t>Taxes as % of income, highest 6-20%</t>
  </si>
  <si>
    <t>Average income of highest 2-5%</t>
  </si>
  <si>
    <t>Taxes as % of income, highest 2-5%</t>
  </si>
  <si>
    <t>Average income of highest 1%</t>
  </si>
  <si>
    <t>Taxes as % of income, highest 1%</t>
  </si>
  <si>
    <t>Calculated avg. income, highest 20%</t>
  </si>
  <si>
    <t>Calculate avg. taxe as % of income, highest 20%</t>
  </si>
  <si>
    <t>Difference in taxes as % of income, highest 20% - lowest 20%</t>
  </si>
  <si>
    <t>Difference in taxes as % of income times average income of lowest 20%=what lowest 20% would save by paying the same rate as the top 20%</t>
  </si>
  <si>
    <t>Highest 1%</t>
  </si>
  <si>
    <t>What lowest 20% would pay in taxes if they paid the same rate as the highest 20%</t>
  </si>
  <si>
    <t>How a proportional tax system would change taxes at different income levels</t>
  </si>
  <si>
    <t>Average income of second lowest 20%</t>
  </si>
  <si>
    <t>Taxes as % of income, sectond lowest 20%</t>
  </si>
  <si>
    <t>Average income of middle 20%</t>
  </si>
  <si>
    <t>Taxes as % of income, middle 20%</t>
  </si>
  <si>
    <t>Average income of2nd highest 20%</t>
  </si>
  <si>
    <t>Taxes as % of income, second highest 20%</t>
  </si>
  <si>
    <t>Average tax rate, calculated by multiplying each group's taxes as a percentage of income times its share of the population</t>
  </si>
  <si>
    <t>Change in taxes at average income in each group from current tax to proportional tax rate</t>
  </si>
  <si>
    <t>Cost</t>
  </si>
  <si>
    <t>Ad Valorem Manufacturing Exemptions</t>
  </si>
  <si>
    <t>Taxes Collected</t>
  </si>
  <si>
    <t>Chart labels</t>
  </si>
  <si>
    <t>Chart Data</t>
  </si>
  <si>
    <t>Effective tax rate by race/ethnicity and type of tax, &lt;year&gt;</t>
  </si>
  <si>
    <t>STATE AND LOCAL TAXES AS A SHARE OF FAMILY INCOME; EFFECTIVE TAX RATE COMPARISONS</t>
  </si>
  <si>
    <t>TOTAL STATE AND LOCAL TAXES</t>
  </si>
  <si>
    <t>SALES &amp; EXCISE TAXES</t>
  </si>
  <si>
    <t>PROPERTY TAXES</t>
  </si>
  <si>
    <t>INCOME TAXES</t>
  </si>
  <si>
    <t>Effective Tax Rate</t>
  </si>
  <si>
    <t>Percent Difference from Average</t>
  </si>
  <si>
    <t>Percent Difference from White</t>
  </si>
  <si>
    <t>ALL</t>
  </si>
  <si>
    <t>Asian</t>
  </si>
  <si>
    <t>Hawaiian / Pacific Islander</t>
  </si>
  <si>
    <t>Multiple Races</t>
  </si>
  <si>
    <t>Other Single Race</t>
  </si>
  <si>
    <t>* Includes only those tax units living away from federally recognized reservations.</t>
  </si>
  <si>
    <t xml:space="preserve">Note: Includes non-elderly tax units in 2015. Racial groups include only non-Hispanic tax units. Hispanic tax units may be of any race. All tax units, including those containing people of multiple races, are assigned to groups based only on the race of the tax unit head. The race of the tax unit head is estimated based on the racial composition of similar sub-household groups using the Census Bureau's American Community Survey (ACS). Whereas the Census allows for respondents to identify as “some other race alone,” our application of the “other” grouping is broader. In most states, we combine this group with other non-Hispanic racial groups where sample size limitations prevent us from producing summary statistics. Moreover, the "Multiple Races" category only includes tax units where the tax unit head personally identifies as being of multiple races.  </t>
  </si>
  <si>
    <t>Source: Institute of Taxation and Economic Policy</t>
  </si>
  <si>
    <t>Estimated US video streaming revenues</t>
  </si>
  <si>
    <t>Taxing digital streaming ($millions)</t>
  </si>
  <si>
    <t>Estimated US music streaming revenues</t>
  </si>
  <si>
    <t>Total streaming revenue, U.S.</t>
  </si>
  <si>
    <t>Oklahoma population, 2020</t>
  </si>
  <si>
    <t>US population, 2020</t>
  </si>
  <si>
    <t>Oklahoma share of US population</t>
  </si>
  <si>
    <t>Assumes streaming is proportionate to population</t>
  </si>
  <si>
    <t>Oklahoma share of streaming revenue</t>
  </si>
  <si>
    <t>State tax at 4.5%</t>
  </si>
  <si>
    <t>Avg Neighor Tax Revenue</t>
  </si>
  <si>
    <t>Oklahoma Population, 2019</t>
  </si>
  <si>
    <t>% ages 5-18</t>
  </si>
  <si>
    <t>Children age 5-18</t>
  </si>
  <si>
    <t>Public school enrollment, fall 2019</t>
  </si>
  <si>
    <t>Kindergarten and above. Source: Oklahoma State Department of Education, available at https://sde.ok.gov/sites/default/files/documents/files/Copy%20of%20GG_BySTATE-FY19209-Public_2019-12-09_PERCENTAGES.xlsx</t>
  </si>
  <si>
    <t>School enrollment at % of children</t>
  </si>
  <si>
    <t>School enrollment as  % of population</t>
  </si>
  <si>
    <t>% age 65 and over</t>
  </si>
  <si>
    <t>Enrollees as % of 65 and over</t>
  </si>
  <si>
    <t>Persons 65 and over</t>
  </si>
  <si>
    <t>1 in 8 Oklahomans age 65 and over depends on SoonerCare, Oklahoma's Medicaid Program for medical or long-term care</t>
  </si>
  <si>
    <t>7 in 10 nursing facilities beds are paid for by Sooner Care</t>
  </si>
  <si>
    <t>% of occupied bed days paid by Sooner Care</t>
  </si>
  <si>
    <t>% of population under 18</t>
  </si>
  <si>
    <t>Children under 18</t>
  </si>
  <si>
    <t>Sooner Care enrollees 65 and over, FY 2020</t>
  </si>
  <si>
    <t>SoonerCare enrollees 18 and under, FY 2020</t>
  </si>
  <si>
    <t>More than 19 in 20 Oklahoma children ages 5-18 (that’s 1 in 6 of all Oklahomans!) attends public school</t>
  </si>
  <si>
    <t>2 in 3 of Oklahoma children receive their medical care through SoonerCare</t>
  </si>
  <si>
    <t>% of population over 16</t>
  </si>
  <si>
    <t>Number of licenced drivers</t>
  </si>
  <si>
    <t>4 out of 5 Oklahomans over age 16 have a state-issued drivers license</t>
  </si>
  <si>
    <t>1 in 5 Oklahomans depends on SNAP to meet household food needs</t>
  </si>
  <si>
    <t>SNAP enrollees</t>
  </si>
  <si>
    <t>Enrollees at %</t>
  </si>
  <si>
    <t>Licensed drivers as %</t>
  </si>
  <si>
    <t>All Households, by County</t>
  </si>
  <si>
    <t>White Households, by County</t>
  </si>
  <si>
    <t>Adair County, Oklahoma</t>
  </si>
  <si>
    <t>Alfalfa County, Oklahoma</t>
  </si>
  <si>
    <t>Atoka County, Oklahoma</t>
  </si>
  <si>
    <t>Beaver County, Oklahoma</t>
  </si>
  <si>
    <t>Beckham County, Oklahoma</t>
  </si>
  <si>
    <t>Blaine County, Oklahoma</t>
  </si>
  <si>
    <t>Bryan County, Oklahoma</t>
  </si>
  <si>
    <t>Caddo County, Oklahoma</t>
  </si>
  <si>
    <t>Canadian County, Oklahoma</t>
  </si>
  <si>
    <t>Carter County, Oklahoma</t>
  </si>
  <si>
    <t>Cherokee County, Oklahoma</t>
  </si>
  <si>
    <t>Choctaw County, Oklahoma</t>
  </si>
  <si>
    <t>Cimarron County, Oklahoma</t>
  </si>
  <si>
    <t>Cleveland County, Oklahoma</t>
  </si>
  <si>
    <t>Coal County, Oklahoma</t>
  </si>
  <si>
    <t>Comanche County, Oklahoma</t>
  </si>
  <si>
    <t>Cotton County, Oklahoma</t>
  </si>
  <si>
    <t>Craig County, Oklahoma</t>
  </si>
  <si>
    <t>Creek County, Oklahoma</t>
  </si>
  <si>
    <t>Custer County, Oklahoma</t>
  </si>
  <si>
    <t>Delaware County, Oklahoma</t>
  </si>
  <si>
    <t>Dewey County, Oklahoma</t>
  </si>
  <si>
    <t>Ellis County, Oklahoma</t>
  </si>
  <si>
    <t>Garfield County, Oklahoma</t>
  </si>
  <si>
    <t>Garvin County, Oklahoma</t>
  </si>
  <si>
    <t>Grady County, Oklahoma</t>
  </si>
  <si>
    <t>Grant County, Oklahoma</t>
  </si>
  <si>
    <t>Greer County, Oklahoma</t>
  </si>
  <si>
    <t>Harmon County, Oklahoma</t>
  </si>
  <si>
    <t>Harper County, Oklahoma</t>
  </si>
  <si>
    <t>Haskell County, Oklahoma</t>
  </si>
  <si>
    <t>Hughes County, Oklahoma</t>
  </si>
  <si>
    <t>Jackson County, Oklahoma</t>
  </si>
  <si>
    <t>Jefferson County, Oklahoma</t>
  </si>
  <si>
    <t>Johnston County, Oklahoma</t>
  </si>
  <si>
    <t>Kay County, Oklahoma</t>
  </si>
  <si>
    <t>Kingfisher County, Oklahoma</t>
  </si>
  <si>
    <t>Kiowa County, Oklahoma</t>
  </si>
  <si>
    <t>Latimer County, Oklahoma</t>
  </si>
  <si>
    <t>Le Flore County, Oklahoma</t>
  </si>
  <si>
    <t>Lincoln County, Oklahoma</t>
  </si>
  <si>
    <t>Logan County, Oklahoma</t>
  </si>
  <si>
    <t>Love County, Oklahoma</t>
  </si>
  <si>
    <t>McClain County, Oklahoma</t>
  </si>
  <si>
    <t>McCurtain County, Oklahoma</t>
  </si>
  <si>
    <t>McIntosh County, Oklahoma</t>
  </si>
  <si>
    <t>Major County, Oklahoma</t>
  </si>
  <si>
    <t>Marshall County, Oklahoma</t>
  </si>
  <si>
    <t>Mayes County, Oklahoma</t>
  </si>
  <si>
    <t>Murray County, Oklahoma</t>
  </si>
  <si>
    <t>Muskogee County, Oklahoma</t>
  </si>
  <si>
    <t>Noble County, Oklahoma</t>
  </si>
  <si>
    <t>Nowata County, Oklahoma</t>
  </si>
  <si>
    <t>Okfuskee County, Oklahoma</t>
  </si>
  <si>
    <t>Oklahoma County, Oklahoma</t>
  </si>
  <si>
    <t>Okmulgee County, Oklahoma</t>
  </si>
  <si>
    <t>Osage County, Oklahoma</t>
  </si>
  <si>
    <t>Ottawa County, Oklahoma</t>
  </si>
  <si>
    <t>Pawnee County, Oklahoma</t>
  </si>
  <si>
    <t>Payne County, Oklahoma</t>
  </si>
  <si>
    <t>Pittsburg County, Oklahoma</t>
  </si>
  <si>
    <t>Pontotoc County, Oklahoma</t>
  </si>
  <si>
    <t>Pottawatomie County, Oklahoma</t>
  </si>
  <si>
    <t>Pushmataha County, Oklahoma</t>
  </si>
  <si>
    <t>Roger Mills County, Oklahoma</t>
  </si>
  <si>
    <t>Rogers County, Oklahoma</t>
  </si>
  <si>
    <t>Seminole County, Oklahoma</t>
  </si>
  <si>
    <t>Sequoyah County, Oklahoma</t>
  </si>
  <si>
    <t>Stephens County, Oklahoma</t>
  </si>
  <si>
    <t>Texas County, Oklahoma</t>
  </si>
  <si>
    <t>Tillman County, Oklahoma</t>
  </si>
  <si>
    <t>Tulsa County, Oklahoma</t>
  </si>
  <si>
    <t>Wagoner County, Oklahoma</t>
  </si>
  <si>
    <t>Washington County, Oklahoma</t>
  </si>
  <si>
    <t>Washita County, Oklahoma</t>
  </si>
  <si>
    <t>Woods County, Oklahoma</t>
  </si>
  <si>
    <t>Woodward County, Oklahoma</t>
  </si>
  <si>
    <t>Minimum</t>
  </si>
  <si>
    <t>Maximum</t>
  </si>
  <si>
    <t>Metro area, unweighted avg. of counties</t>
  </si>
  <si>
    <t>OKC Metro</t>
  </si>
  <si>
    <t>Tulsa Metro</t>
  </si>
  <si>
    <t>Other Metro</t>
  </si>
  <si>
    <t>Not Metro</t>
  </si>
  <si>
    <t>All Metro includes all metropolitan and micropolitan areas defined by Census Bureau, including Oklahoma City, Shawnee, Tulsa, Muskogee, Bartlesville, Lawton, Stillwater, Enid, Ardmore, and Tahlequah</t>
  </si>
  <si>
    <t>Taxes</t>
  </si>
  <si>
    <t>Tax as %</t>
  </si>
  <si>
    <t>Methodology and notes</t>
  </si>
  <si>
    <t>Taxes were estimated for the median household income as reported by the Census Bureau for 2019</t>
  </si>
  <si>
    <t xml:space="preserve">ITEP estimates taxes at 7 different income levels. </t>
  </si>
  <si>
    <t>OK Policy used those estimates to estimate taxes for a household with the median income for each county by calculating differences between the ITEP estimate above and below the county median</t>
  </si>
  <si>
    <t>Metro and Non Metro averages are a simple average of the tax estimates for each county in a metropolitan area.</t>
  </si>
  <si>
    <t>Broadly Available?</t>
  </si>
  <si>
    <t>Broadly available programs</t>
  </si>
  <si>
    <t>Not broadly available programs</t>
  </si>
  <si>
    <t>Total tax expenditures</t>
  </si>
  <si>
    <t>Broadly Available</t>
  </si>
  <si>
    <t>Targeted</t>
  </si>
  <si>
    <t>Targeted tax expenditures are all not listed as broadly available.</t>
  </si>
  <si>
    <t>Broadly available tax expenditures includes income tax deductions and credits used by at least 10 percent of tax returns, plus sales tax exemptions that reduce taxes for most or all taxpayers (including exemptions of sales for resale, residential utilities, and newspapers and periodicals) as reported by the Tax Commission. These are identified with a "Y" in column L starting at row 104</t>
  </si>
  <si>
    <t>Percent not collected - Broad</t>
  </si>
  <si>
    <t>Percent not collected - targeted</t>
  </si>
  <si>
    <t>Tax Exp. Broad</t>
  </si>
  <si>
    <t>Tax Exp. Targeted</t>
  </si>
  <si>
    <t>Same data only excluding sales for resale from tax expenditures (and total)</t>
  </si>
  <si>
    <t>Additional amount collected if ratio had remained the same (from this table, omitting sales for resale</t>
  </si>
  <si>
    <t>Index dollar-denominated taxes for inflation</t>
  </si>
  <si>
    <t>Taxes affected</t>
  </si>
  <si>
    <t>Motor fuels taxes</t>
  </si>
  <si>
    <t>Annual Revenue ($ millions)</t>
  </si>
  <si>
    <t>Cigarette and tobacco taxes</t>
  </si>
  <si>
    <t>Beverage taxes and licenses</t>
  </si>
  <si>
    <t>Realty transfer tax</t>
  </si>
  <si>
    <t>911 wireless fee</t>
  </si>
  <si>
    <t>Tire recycling fee</t>
  </si>
  <si>
    <t>Vehicle registration fees</t>
  </si>
  <si>
    <t>OK Policy estimate for 1.4 million registered vehicles at an assumed average age of 5 years.</t>
  </si>
  <si>
    <t>Average inflation 2016-2010</t>
  </si>
  <si>
    <t>Annaul revenue growth from indexing</t>
  </si>
  <si>
    <t>Impact on lowest 20%</t>
  </si>
  <si>
    <t>Average income or lowest 20% of incomes</t>
  </si>
  <si>
    <t>Other excise/sales taxes as % of income</t>
  </si>
  <si>
    <t>Annual excise/sales tax paid</t>
  </si>
  <si>
    <t>Inflation increase (1.9%)</t>
  </si>
  <si>
    <t>Average salary of instructional staff, Oklahoma, 2019-20.</t>
  </si>
  <si>
    <t>Cost of 5% EITC non-refundable</t>
  </si>
  <si>
    <t>Cost of making the 5% EITC refundable</t>
  </si>
  <si>
    <t>Source: Oklahoma Tax Commission Tax Expenditure Report, 2019-20, p. 10</t>
  </si>
  <si>
    <t>OK Policy Calculation</t>
  </si>
  <si>
    <t>Total cost of refundable 5% EITC (which takes effect in tax year 2022</t>
  </si>
  <si>
    <t>FY 2020 cost of a $1,200 raise</t>
  </si>
  <si>
    <t>State share of salary:</t>
  </si>
  <si>
    <t>Total school revenue, 2019-20 school year</t>
  </si>
  <si>
    <t>State sources:</t>
  </si>
  <si>
    <t>Appropriation</t>
  </si>
  <si>
    <t>Direct allocations</t>
  </si>
  <si>
    <t>Total state</t>
  </si>
  <si>
    <t>State %</t>
  </si>
  <si>
    <t>High of range for aerial build</t>
  </si>
  <si>
    <t>Assumed state share</t>
  </si>
  <si>
    <t>Modeled after NY Broadband, where remaining costs are from private match and federal funds</t>
  </si>
  <si>
    <t>Right of way and utilities only</t>
  </si>
  <si>
    <t>SH 3</t>
  </si>
  <si>
    <t>Construction only</t>
  </si>
  <si>
    <t>Resurface only projects</t>
  </si>
  <si>
    <t>US 69</t>
  </si>
  <si>
    <t>I-40</t>
  </si>
  <si>
    <t>Interstate, one direction, construction only</t>
  </si>
  <si>
    <t>SH 6</t>
  </si>
  <si>
    <t>US 270/US 412</t>
  </si>
  <si>
    <t>I 40</t>
  </si>
  <si>
    <t>Interstate, not clear on one or two directions</t>
  </si>
  <si>
    <t>State share</t>
  </si>
  <si>
    <t>All projects listed in 2020-27 8-year plan for 2020 and 2021 construction. Total cost/mile for project parts</t>
  </si>
  <si>
    <t>Assumed in ODOT 8-year plan (Section II)</t>
  </si>
  <si>
    <t>Federal</t>
  </si>
  <si>
    <t xml:space="preserve">State </t>
  </si>
  <si>
    <t>Median of all construction only projects above</t>
  </si>
  <si>
    <t>Estimate for design and management (15% of total)</t>
  </si>
  <si>
    <t>Total estimate</t>
  </si>
  <si>
    <t>Median of right of way and utilities</t>
  </si>
  <si>
    <t>Resurface</t>
  </si>
  <si>
    <t>Replace a structurally deficient county bridge</t>
  </si>
  <si>
    <t># of structurally deficient bridges</t>
  </si>
  <si>
    <t>Cost to replace all</t>
  </si>
  <si>
    <t>With</t>
  </si>
  <si>
    <t>We Could</t>
  </si>
  <si>
    <t>But instead we</t>
  </si>
  <si>
    <t>Allow fewer than 20,000 taxpayers to deduct capital gains from their state income taxes</t>
  </si>
  <si>
    <t>OK Tax Commission Tax Expenditure Report 2019-20, p. 19</t>
  </si>
  <si>
    <t>$127 million each year</t>
  </si>
  <si>
    <t>Film incentive</t>
  </si>
  <si>
    <t>$300 million one-time funding</t>
  </si>
  <si>
    <t>Replace over 900 structurally deficient county bridges (more than a third of the remaining deficient bridges)</t>
  </si>
  <si>
    <t>Provide tax subsidies to electric-vehicle maker Canoo, at a cost of $150,000 per promised job.</t>
  </si>
  <si>
    <t>$161 million each year</t>
  </si>
  <si>
    <t>Miles repaved with $127 million</t>
  </si>
  <si>
    <t>Repave an additional 260 miles of state highway</t>
  </si>
  <si>
    <t>Pay 5 years of a corporation's property taxes on new manufacturing and other investments through the Ad Valorem Reimbursement Fund</t>
  </si>
  <si>
    <t>Cost of a 1 percent raise (1%/2.1% x $58 million)</t>
  </si>
  <si>
    <t>% raise with $161 million</t>
  </si>
  <si>
    <t>Cost/% increase</t>
  </si>
  <si>
    <t>Change in state ranking</t>
  </si>
  <si>
    <t>OK rank among neighboring states</t>
  </si>
  <si>
    <t>Avg. salary after 6% increase</t>
  </si>
  <si>
    <t>OK rank among neighboring states after 6% increase</t>
  </si>
  <si>
    <t>Raise teacher pay by 6%, making us the 2nd highest-paying state in our region and within $1,000 of Texas</t>
  </si>
  <si>
    <t>Bridges replaced with $300 million</t>
  </si>
  <si>
    <t>Pct of deficient bridges</t>
  </si>
  <si>
    <t>Provide ten-year payroll assistance for companies under the Quality Jobs Incentive program</t>
  </si>
  <si>
    <t>Students receiving state aid and grants</t>
  </si>
  <si>
    <t>Total amount of state aid and grants</t>
  </si>
  <si>
    <t>Includes OK Promise, OK Tuition Aid Grants, Academic Scholars (p. 14)</t>
  </si>
  <si>
    <t>Average per student receiving aid</t>
  </si>
  <si>
    <t>Includes OK Promise, OK Tuition Aid Grants, Academic Scholars (p. 12)</t>
  </si>
  <si>
    <t>Cost of teacher pay raise, 2020</t>
  </si>
  <si>
    <t>$1,200 as a percent of current salary (per below)</t>
  </si>
  <si>
    <t>Provide student aid to over 22,000 Oklahoma college students and their families</t>
  </si>
  <si>
    <t>Provide up to $5,600 tax-free to high-income donors for private-school scholarships</t>
  </si>
  <si>
    <t>$25 million</t>
  </si>
  <si>
    <t>Cost of one additional teacher</t>
  </si>
  <si>
    <t xml:space="preserve">Assumed cost to widen per mile </t>
  </si>
  <si>
    <t>State costs to repave a mile of highway</t>
  </si>
  <si>
    <t>Students assisted with $57 million</t>
  </si>
  <si>
    <t>Additional teachers for $25 million</t>
  </si>
  <si>
    <t>Hire nearly 1,000 more public school teachers</t>
  </si>
  <si>
    <t>Miles of broadband built with $30 million</t>
  </si>
  <si>
    <t>Build over 2,200 miles of high-speed broadband so rural Oklahomans can access data and entertainment</t>
  </si>
  <si>
    <t>$57 million each year</t>
  </si>
  <si>
    <t>$30 million each year</t>
  </si>
  <si>
    <t>Amount to triple the 5% EITC to 15%</t>
  </si>
  <si>
    <t>Increase the state earned income tax credit to 15%</t>
  </si>
  <si>
    <t>$88 million each year</t>
  </si>
  <si>
    <t>Increase the state earned income tax from a bottom 3 rate of 5% to 15% of the federal credit, benefitting over 300,000 Oklahoma households</t>
  </si>
  <si>
    <t>Source: Oklahoma Tax Commission Tax Expenditure Report, 2019-20, p. 9</t>
  </si>
  <si>
    <t>Provide ten-year tax credits for less than 50  companies building zero-emission electric facilities</t>
  </si>
  <si>
    <t>Pay up to one-third of production costs for Oklahoma-made films and television shows</t>
  </si>
  <si>
    <t>Current</t>
  </si>
  <si>
    <t>Proportional</t>
  </si>
  <si>
    <t>Times Bigger in 2020</t>
  </si>
  <si>
    <t>Budget in Current $ (see note 1)</t>
  </si>
  <si>
    <t>Price index (see note 2)</t>
  </si>
  <si>
    <t>Budget adjusted to 2021 $ and population</t>
  </si>
  <si>
    <t>FY '20</t>
  </si>
  <si>
    <t>FY '21 initial</t>
  </si>
  <si>
    <t>FY '21 final</t>
  </si>
  <si>
    <t>FY '22 initial</t>
  </si>
  <si>
    <t>Cost deflator for state and local expenditures, U.S. Bureau of Economic Analysis. 2022 estimated by OK Policy</t>
  </si>
  <si>
    <t>Oklahoma population estimates, US Bureau of the Census. 2022 estimated by OK Policy</t>
  </si>
  <si>
    <t>2000 budget- adjusted budget</t>
  </si>
  <si>
    <t>Actual Severance Tax Revenue</t>
  </si>
  <si>
    <t>Add'l. revenue at 7 percent effective rate</t>
  </si>
  <si>
    <t>Tax increase (decrease if lowest 20% pay same rate as highest 20%</t>
  </si>
  <si>
    <t>Region</t>
  </si>
  <si>
    <t>Summary data for chart:</t>
  </si>
  <si>
    <t># of households by type and income level (Census)</t>
  </si>
  <si>
    <t>Weighted Averages of income and taxes by household type (Census and ITEP)</t>
  </si>
  <si>
    <t>Increase income tax rates for the highest earners</t>
  </si>
  <si>
    <t>Source: Prepared for OK Policy by the Institute on Taxation and Economic Policy</t>
  </si>
  <si>
    <t>All State Residents, 2022 Incomes</t>
  </si>
  <si>
    <t>2022 Income</t>
  </si>
  <si>
    <t>6% Top Rate at $300k for MFJ/HOH, $150k S/MFS</t>
  </si>
  <si>
    <t>State Tax Change ($1000)</t>
  </si>
  <si>
    <t>5.5% Top Rate at $150k for MFJ/HOH, $75k for S/MFS</t>
  </si>
  <si>
    <t>Total income</t>
  </si>
  <si>
    <t>Standard deduction</t>
  </si>
  <si>
    <t>Taxable income</t>
  </si>
  <si>
    <t>Tax rate detail (total of rows is total tax owed)</t>
  </si>
  <si>
    <t>HB 2962 (2021)</t>
  </si>
  <si>
    <t>.25% on first $2,000</t>
  </si>
  <si>
    <t>.75% on next $3,000</t>
  </si>
  <si>
    <t>1.75% on next $2,500</t>
  </si>
  <si>
    <t>2.75% on next $2,300</t>
  </si>
  <si>
    <t>4.75% on remainder</t>
  </si>
  <si>
    <t>3.75% tax on next $2,400</t>
  </si>
  <si>
    <t>Savings</t>
  </si>
  <si>
    <t>Percent reduction</t>
  </si>
  <si>
    <t>0.5% on first $2,000</t>
  </si>
  <si>
    <t>1% on next $3,000</t>
  </si>
  <si>
    <t>2% on next $2,500</t>
  </si>
  <si>
    <t>3% on next $2,300</t>
  </si>
  <si>
    <t>4% on next $2,600</t>
  </si>
  <si>
    <t>5% on next $3,000</t>
  </si>
  <si>
    <t>6% on next $4,600</t>
  </si>
  <si>
    <t>6.65% on amt. over $20,000</t>
  </si>
  <si>
    <t>State income tax savings for couple making $100,000 (with 2 children), 2004 to 2022</t>
  </si>
  <si>
    <t>Tax instructions</t>
  </si>
  <si>
    <t>Federal income tax savings for couple making $100,000 (with 2 children), 2004 to 2022</t>
  </si>
  <si>
    <t>Tax-brackets.org</t>
  </si>
  <si>
    <t>10% on first $14,600</t>
  </si>
  <si>
    <t>15% on next $22,400</t>
  </si>
  <si>
    <t>25% on next $30,275</t>
  </si>
  <si>
    <t>28% on next $60,550</t>
  </si>
  <si>
    <t>10% on first $19,900</t>
  </si>
  <si>
    <t>12% on next $60,150</t>
  </si>
  <si>
    <t>Eliminate itemized deductions</t>
  </si>
  <si>
    <t>Apply the sales tax to more services</t>
  </si>
  <si>
    <t>Eliminate sales tax breaks that favor specific industries</t>
  </si>
  <si>
    <t>Source: Oklahoma Tax Commission Annual Report, FY 2019</t>
  </si>
  <si>
    <t>Source: Institute on Taxation and Economic Policy, Who Pays? 6th Edition</t>
  </si>
  <si>
    <t>Data prepared by Institute on Taxation and Economic Policy for OK Policy</t>
  </si>
  <si>
    <t>Where blank, estimates are not available from Oklahoma Tax Commission</t>
  </si>
  <si>
    <t>Other industry-specific sales tax exemptions</t>
  </si>
  <si>
    <t>Source: Oklahoma Tax Commission Tax Expenditures Report, 2019-2020</t>
  </si>
  <si>
    <t>Increase accessibility of Oklahoma’s Volunteer Income Tax Assistance (VITA) program</t>
  </si>
  <si>
    <t>Estimated VITA users in Oklahoma (state-level data are not available from Internal Revenue Service</t>
  </si>
  <si>
    <t>National VITA users, 2020</t>
  </si>
  <si>
    <t>Oklahoma % of population</t>
  </si>
  <si>
    <t>Estimated Oklahoma users</t>
  </si>
  <si>
    <t>Oklahoma taxpayers with under $50,000 adjusted gross income</t>
  </si>
  <si>
    <t>Expand the Earned Income Tax Credit</t>
  </si>
  <si>
    <t>10% Refundable EITC (Same as Federal)</t>
  </si>
  <si>
    <t>Expand the  the amount and income limit of the Sales Tax Relief Credit</t>
  </si>
  <si>
    <t>Create a renter credit for the income tax equal to the value of the homestead exemption</t>
  </si>
  <si>
    <t>Incentives are the wrong choice for using our shared revenues</t>
  </si>
  <si>
    <t>Limit or repeal the Five-Year Ad Valorem Tax Exemption for Manufacturing</t>
  </si>
  <si>
    <t>Cost per job estimates</t>
  </si>
  <si>
    <t>Box: Cost of Tax Incentives</t>
  </si>
  <si>
    <t>Reconfigure the Investment/New Jobs Tax Credit</t>
  </si>
  <si>
    <t>Savings if from just one Inentive Evaluation Commission recommendation</t>
  </si>
  <si>
    <t>Additional savings are possible</t>
  </si>
  <si>
    <t>$39 million</t>
  </si>
  <si>
    <t>Index to Data documentation file</t>
  </si>
  <si>
    <t>Tab</t>
  </si>
  <si>
    <t>Report Section</t>
  </si>
  <si>
    <t>Who needs government? All of us! (box)</t>
  </si>
  <si>
    <t>Increasing local sales taxes</t>
  </si>
  <si>
    <t>Apply the sales tax to streaming services and digital downloads</t>
  </si>
  <si>
    <t>Box: Who needs government? All of us!</t>
  </si>
  <si>
    <t>Estimated population 000s (see note 3)</t>
  </si>
  <si>
    <t>Source: US Census Bureau</t>
  </si>
  <si>
    <t>Source: Oklahoma Health Care Authority</t>
  </si>
  <si>
    <t>Source: U.S. Census Bureau</t>
  </si>
  <si>
    <t>Source: U.S. Department of Transportation</t>
  </si>
  <si>
    <t>Source: Oklahoma Department of Human Services</t>
  </si>
  <si>
    <t>Source: Region Track</t>
  </si>
  <si>
    <t>Source: US Census Bureau, Institute on Taxation and Economic Policy</t>
  </si>
  <si>
    <t>OK Policy calculations from US Census Bureau  and Institute of Taxation and Economic Policy (ITEP)</t>
  </si>
  <si>
    <t xml:space="preserve">Source: Business of Apps </t>
  </si>
  <si>
    <t>Source: Statisa</t>
  </si>
  <si>
    <t xml:space="preserve"> Prepared for OK Policy by Institute on Taxation and Economic Policy</t>
  </si>
  <si>
    <t>Prepared for OK Policy by Institute on Taxation and Economic Policy</t>
  </si>
  <si>
    <t>Assessed value of residential properties (2020)</t>
  </si>
  <si>
    <t>Estimated tax on residential properties (2020)</t>
  </si>
  <si>
    <t>Proposed rental credit (avg. tax impact of homestead</t>
  </si>
  <si>
    <t>Source: Same as above</t>
  </si>
  <si>
    <t>Source: OK Policy</t>
  </si>
  <si>
    <t>Source: Oklahoma Policy Institute</t>
  </si>
  <si>
    <t>Source: National Education Association Research</t>
  </si>
  <si>
    <t>Examples from Oklahoma Department of Transportation 8-year plan</t>
  </si>
  <si>
    <t>Source: Institute on Taxation and Economic Policy</t>
  </si>
  <si>
    <t xml:space="preserve">Source: Oklahoma Tax Commission Annual Report 2020, p. 26. </t>
  </si>
  <si>
    <t>Source: State Regents for Higher Education</t>
  </si>
  <si>
    <t>Source: Otelco</t>
  </si>
  <si>
    <t>Source: Oklahoma State Department of Education</t>
  </si>
  <si>
    <t>Source: Legislative Office of Fiscal Transparency</t>
  </si>
  <si>
    <t>Oklahoma Tax Commission</t>
  </si>
  <si>
    <t>narrow, cap, prevent from combining with other incentives</t>
  </si>
  <si>
    <t>Academic year</t>
  </si>
  <si>
    <t>2008-09</t>
  </si>
  <si>
    <t>2021-22</t>
  </si>
  <si>
    <t>Resident tuition per credit hour, research universities</t>
  </si>
  <si>
    <t>Nonresident tuition per credit hour, research universities</t>
  </si>
  <si>
    <t>% change</t>
  </si>
  <si>
    <t>Expand the low-income property tax credit to all homeowners and renters making less than $12,000 annually</t>
  </si>
  <si>
    <t>US Census Bureau</t>
  </si>
  <si>
    <t>Oklahoma households</t>
  </si>
  <si>
    <t>% with income $10,000-$14,999</t>
  </si>
  <si>
    <t>Est. with income $10-$12,000</t>
  </si>
  <si>
    <t>Total eligible households</t>
  </si>
  <si>
    <t>Credit amount</t>
  </si>
  <si>
    <t>Gross cost of credit</t>
  </si>
  <si>
    <t>Figure 2, Oklahoma taxes have fallen dramatically</t>
  </si>
  <si>
    <t>Figure 1, State appropriations FY 2000-2022</t>
  </si>
  <si>
    <t>Figure 3, Gross production tax breaks cost the state $4 billion</t>
  </si>
  <si>
    <t>Figure 4, Just over half of taxes are collected after tax expenditures</t>
  </si>
  <si>
    <t>Table 1, Fastest growing tax expenditures</t>
  </si>
  <si>
    <t>Additional examples not in Table 1</t>
  </si>
  <si>
    <t>Items included in Table 1</t>
  </si>
  <si>
    <t>Figure 5, Lower taxes and spending aren't boosting our economy</t>
  </si>
  <si>
    <t>US</t>
  </si>
  <si>
    <t>Calculation of Region</t>
  </si>
  <si>
    <t>US Census Bureau, compiled by Tax Policy Center</t>
  </si>
  <si>
    <t>Taxes: State and local taxes as a percentage of personal income</t>
  </si>
  <si>
    <t>Note: Region is the simple average of neighboring states</t>
  </si>
  <si>
    <t xml:space="preserve">Spending: State and local government direct expenditures as a percentage of personal income </t>
  </si>
  <si>
    <t>Note: Region is the total of neighboring states</t>
  </si>
  <si>
    <t>Data source is linked in state name</t>
  </si>
  <si>
    <t>OK Rank in region</t>
  </si>
  <si>
    <t>Federal Reserve Bank of St. Louis</t>
  </si>
  <si>
    <t>STEP 1:</t>
  </si>
  <si>
    <t>Output: Gross domestic product adjusted for inflation (2012 dollars), in millions</t>
  </si>
  <si>
    <t>Output w/o oil/gas: Gross domestic product except oil and gas extraction, in millions of 2012 dollars</t>
  </si>
  <si>
    <t>Oil and gas extraction</t>
  </si>
  <si>
    <t>STEP 2:</t>
  </si>
  <si>
    <t>Subtract oil and gas extraction from gross domestic product</t>
  </si>
  <si>
    <t>Jobs: Total Nonfarm Employees, as of January 1, in thousands</t>
  </si>
  <si>
    <t xml:space="preserve">Income: </t>
  </si>
  <si>
    <t>Median Household Income, adjusted for inflation (2020 dollars)</t>
  </si>
  <si>
    <t>Note: Region is the average of neighboring states</t>
  </si>
  <si>
    <t>Figure 6, Tax cust benefitted a few while budget cuts hurt everyone</t>
  </si>
  <si>
    <t>Growth in tuition</t>
  </si>
  <si>
    <t>Oklahoma Regents for Higher Education</t>
  </si>
  <si>
    <t>Note: Tuition is the in-state tuition per credit hour averaged between the University of Oklahoma and Oklahoma State University</t>
  </si>
  <si>
    <t>Figure 7, Taxes have risen for low-income Oklahomans, while they have fallen in surrounding states</t>
  </si>
  <si>
    <t>Figure 8, What if the lowest 20% paid the same as the highest 20%?</t>
  </si>
  <si>
    <t>Calculated by OK Policy from Institute of Taxation and Economic Policy, "Who Pays: A Distributional Analysis of the Tax Systems in All 50 States", 1st-6th editions, 1995-2018.</t>
  </si>
  <si>
    <t>Table 2, What if we had a proportional tax system?</t>
  </si>
  <si>
    <t>Figure 9, Tax as a percent of income, by race and tax, 2018</t>
  </si>
  <si>
    <t>Figure 11, Tax as a % of Income, Metro and Non Metro Areas</t>
  </si>
  <si>
    <t>Figure 10, Tax as a percent of income, by household type and tax, 2018</t>
  </si>
  <si>
    <t>% with income under $10,000</t>
  </si>
  <si>
    <t>Create a renter credit for the income tax</t>
  </si>
  <si>
    <t>Table 3, Cost of Tax Incentives</t>
  </si>
  <si>
    <t>Spending</t>
  </si>
  <si>
    <t>Output</t>
  </si>
  <si>
    <t>Output w/o oil/gas</t>
  </si>
  <si>
    <t>Chart Labels</t>
  </si>
  <si>
    <t>Tax Savings</t>
  </si>
  <si>
    <t>Loss of Services</t>
  </si>
  <si>
    <t>Am. Indian / Alaska Native</t>
  </si>
  <si>
    <t>Latinx</t>
  </si>
  <si>
    <t>t</t>
  </si>
  <si>
    <t>Return to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</si>
</sst>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00"/>
    <numFmt numFmtId="168" formatCode="_(&quot;$&quot;* #,##0_);_(&quot;$&quot;* \(#,##0\);_(&quot;$&quot;* &quot;-&quot;??_);_(@_)"/>
    <numFmt numFmtId="169" formatCode="0.0%"/>
    <numFmt numFmtId="170" formatCode="0_);\(0\)"/>
    <numFmt numFmtId="171" formatCode="&quot;$&quot;#,##0&quot; –&quot;;[Red]\(&quot;$&quot;#,##0\)"/>
    <numFmt numFmtId="172" formatCode="\+#,##0.0%_);\–#,##0.0%_);\—_)_)"/>
    <numFmt numFmtId="173" formatCode="\+#,##0_);\–#,##0_);&quot;—&quot;_)_);@_)"/>
    <numFmt numFmtId="174" formatCode="\+#,##0.000%_);\–#,##0.000%_);\—_)_)"/>
    <numFmt numFmtId="175" formatCode="\+#,##0.00%_);\–#,##0.00%_);\—_)_)"/>
    <numFmt numFmtId="176" formatCode="#,##0%_);\–#,##0%_);\—_)_)"/>
    <numFmt numFmtId="177" formatCode="\+#,##0.00_);\–#,##0.00_);&quot;—&quot;_)_);@_)"/>
    <numFmt numFmtId="178" formatCode="0.0000"/>
    <numFmt numFmtId="179" formatCode="0.0"/>
    <numFmt numFmtId="180" formatCode=".0000"/>
    <numFmt numFmtId="181" formatCode="_(* #,##0.0_);_(* \(#,##0.0\);_(* &quot;-&quot;??_);_(@_)"/>
    <numFmt numFmtId="182" formatCode="_(* #,##0.00000_);_(* \(#,##0.00000\);_(* &quot;-&quot;??_);_(@_)"/>
    <numFmt numFmtId="183" formatCode="_(&quot;$&quot;* #,##0.0_);_(&quot;$&quot;* \(#,##0.0\);_(&quot;$&quot;* &quot;-&quot;??_);_(@_)"/>
    <numFmt numFmtId="184" formatCode="General_)"/>
    <numFmt numFmtId="185" formatCode="_(&quot;$&quot;* #,##0_);_(&quot;$&quot;* \(#,##0\);_(&quot;$&quot;* &quot;-&quot;?_);_(@_)"/>
    <numFmt numFmtId="186" formatCode="#,##0&quot;           &quot;;\-#,##0&quot;           &quot;;&quot;0           &quot;;@&quot;           &quot;"/>
    <numFmt numFmtId="187" formatCode="0\%"/>
  </numFmts>
  <fonts count="102"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u/>
      <sz val="10"/>
      <color rgb="FF0000FF"/>
      <name val="Arial"/>
      <family val="2"/>
    </font>
    <font>
      <sz val="10"/>
      <color rgb="FF000000"/>
      <name val="Arial"/>
      <family val="2"/>
    </font>
    <font>
      <u/>
      <sz val="10"/>
      <color rgb="FF0000FF"/>
      <name val="Arial"/>
      <family val="2"/>
    </font>
    <font>
      <sz val="11"/>
      <color rgb="FF000000"/>
      <name val="Arial"/>
      <family val="2"/>
    </font>
    <font>
      <sz val="11"/>
      <color rgb="FF000000"/>
      <name val="Calibri"/>
      <family val="2"/>
    </font>
    <font>
      <u/>
      <sz val="10"/>
      <color theme="10"/>
      <name val="Arial"/>
      <family val="2"/>
    </font>
    <font>
      <b/>
      <sz val="11"/>
      <color theme="1"/>
      <name val="Arial"/>
      <family val="2"/>
      <scheme val="minor"/>
    </font>
    <font>
      <sz val="10"/>
      <color rgb="FF000000"/>
      <name val="Arial"/>
      <family val="2"/>
    </font>
    <font>
      <sz val="10"/>
      <name val="Arial"/>
      <family val="2"/>
    </font>
    <font>
      <b/>
      <sz val="11"/>
      <color rgb="FFFF0000"/>
      <name val="Arial"/>
      <family val="2"/>
      <scheme val="minor"/>
    </font>
    <font>
      <b/>
      <sz val="11"/>
      <name val="Arial"/>
      <family val="2"/>
      <scheme val="minor"/>
    </font>
    <font>
      <b/>
      <i/>
      <sz val="10"/>
      <color rgb="FF000000"/>
      <name val="Arial"/>
      <family val="2"/>
    </font>
    <font>
      <sz val="10"/>
      <name val="Times New Roman"/>
      <family val="1"/>
    </font>
    <font>
      <b/>
      <sz val="12"/>
      <color indexed="9"/>
      <name val="Arial Narrow"/>
      <family val="2"/>
    </font>
    <font>
      <sz val="12"/>
      <color indexed="8"/>
      <name val="Arial Narrow"/>
      <family val="2"/>
    </font>
    <font>
      <sz val="12"/>
      <name val="Arial Narrow"/>
      <family val="2"/>
    </font>
    <font>
      <b/>
      <sz val="14"/>
      <color indexed="9"/>
      <name val="Arial Narrow"/>
      <family val="2"/>
    </font>
    <font>
      <sz val="12"/>
      <color indexed="8"/>
      <name val="Calibri"/>
      <family val="2"/>
    </font>
    <font>
      <b/>
      <sz val="12"/>
      <name val="Arial Narrow"/>
      <family val="2"/>
    </font>
    <font>
      <b/>
      <sz val="18"/>
      <color indexed="8"/>
      <name val="Arial Narrow"/>
      <family val="2"/>
    </font>
    <font>
      <b/>
      <sz val="10"/>
      <color rgb="FF000000"/>
      <name val="Arial"/>
      <family val="2"/>
    </font>
    <font>
      <sz val="12"/>
      <color theme="1"/>
      <name val="Calibri"/>
      <family val="2"/>
    </font>
    <font>
      <b/>
      <sz val="16"/>
      <color rgb="FFFFFFFF"/>
      <name val="Calibri"/>
      <family val="2"/>
    </font>
    <font>
      <sz val="13"/>
      <color rgb="FFFFFFFF"/>
      <name val="Calibri"/>
      <family val="2"/>
    </font>
    <font>
      <b/>
      <sz val="11"/>
      <color rgb="FFFFFFFF"/>
      <name val="Calibri"/>
      <family val="2"/>
    </font>
    <font>
      <b/>
      <sz val="14"/>
      <color rgb="FFFFFFFF"/>
      <name val="Calibri"/>
      <family val="2"/>
    </font>
    <font>
      <b/>
      <sz val="11"/>
      <color rgb="FF000000"/>
      <name val="Calibri"/>
      <family val="2"/>
    </font>
    <font>
      <b/>
      <sz val="10"/>
      <color theme="1"/>
      <name val="Arial"/>
      <family val="2"/>
    </font>
    <font>
      <u/>
      <sz val="10"/>
      <color rgb="FF000000"/>
      <name val="Arial"/>
      <family val="2"/>
    </font>
    <font>
      <b/>
      <i/>
      <sz val="10"/>
      <color theme="1"/>
      <name val="Arial"/>
      <family val="2"/>
    </font>
    <font>
      <b/>
      <i/>
      <sz val="12"/>
      <name val="Arial Narrow"/>
      <family val="2"/>
    </font>
    <font>
      <sz val="9"/>
      <name val="Verdana"/>
      <family val="2"/>
    </font>
    <font>
      <sz val="14"/>
      <name val="Verdana"/>
      <family val="2"/>
    </font>
    <font>
      <sz val="12"/>
      <name val="Verdana"/>
      <family val="2"/>
    </font>
    <font>
      <sz val="14"/>
      <color theme="1"/>
      <name val="Arial"/>
      <family val="2"/>
      <scheme val="minor"/>
    </font>
    <font>
      <sz val="14"/>
      <name val="Arial"/>
      <family val="2"/>
      <scheme val="minor"/>
    </font>
    <font>
      <sz val="14"/>
      <name val="Calibri"/>
      <family val="2"/>
    </font>
    <font>
      <sz val="14"/>
      <color indexed="8"/>
      <name val="Arial"/>
      <family val="2"/>
      <scheme val="minor"/>
    </font>
    <font>
      <b/>
      <sz val="10"/>
      <name val="Verdana"/>
      <family val="2"/>
    </font>
    <font>
      <b/>
      <sz val="14"/>
      <color theme="1"/>
      <name val="Verdana"/>
      <family val="2"/>
    </font>
    <font>
      <sz val="14"/>
      <color theme="1"/>
      <name val="Verdana"/>
      <family val="2"/>
    </font>
    <font>
      <b/>
      <sz val="14"/>
      <name val="Verdana"/>
      <family val="2"/>
    </font>
    <font>
      <sz val="10"/>
      <name val="Verdana"/>
      <family val="2"/>
    </font>
    <font>
      <b/>
      <sz val="12"/>
      <name val="Verdana"/>
      <family val="2"/>
    </font>
    <font>
      <b/>
      <sz val="14"/>
      <color theme="1"/>
      <name val="Arial"/>
      <family val="2"/>
      <scheme val="minor"/>
    </font>
    <font>
      <b/>
      <sz val="14"/>
      <name val="Arial"/>
      <family val="2"/>
      <scheme val="minor"/>
    </font>
    <font>
      <b/>
      <sz val="14"/>
      <name val="Calibri"/>
      <family val="2"/>
    </font>
    <font>
      <sz val="12"/>
      <color rgb="FF000000"/>
      <name val="Arial"/>
      <family val="2"/>
      <scheme val="minor"/>
    </font>
    <font>
      <sz val="14"/>
      <color indexed="12"/>
      <name val="Arial"/>
      <family val="2"/>
      <scheme val="minor"/>
    </font>
    <font>
      <u/>
      <sz val="14"/>
      <color theme="1"/>
      <name val="Arial"/>
      <family val="2"/>
      <scheme val="minor"/>
    </font>
    <font>
      <sz val="14"/>
      <color rgb="FFFF0000"/>
      <name val="Arial"/>
      <family val="2"/>
      <scheme val="minor"/>
    </font>
    <font>
      <b/>
      <sz val="14"/>
      <color rgb="FFFF0000"/>
      <name val="Arial"/>
      <family val="2"/>
      <scheme val="minor"/>
    </font>
    <font>
      <b/>
      <sz val="14"/>
      <color theme="3"/>
      <name val="Arial"/>
      <family val="2"/>
      <scheme val="minor"/>
    </font>
    <font>
      <b/>
      <sz val="14"/>
      <color theme="3"/>
      <name val="Calibri"/>
      <family val="2"/>
    </font>
    <font>
      <b/>
      <sz val="10.5"/>
      <color theme="3"/>
      <name val="Calibri"/>
      <family val="2"/>
    </font>
    <font>
      <b/>
      <sz val="9"/>
      <name val="Verdana"/>
      <family val="2"/>
    </font>
    <font>
      <b/>
      <sz val="14"/>
      <color theme="4"/>
      <name val="Arial"/>
      <family val="2"/>
      <scheme val="minor"/>
    </font>
    <font>
      <b/>
      <u/>
      <sz val="14"/>
      <color theme="3"/>
      <name val="Arial"/>
      <family val="2"/>
      <scheme val="minor"/>
    </font>
    <font>
      <b/>
      <u/>
      <sz val="14"/>
      <color theme="3"/>
      <name val="Calibri"/>
      <family val="2"/>
    </font>
    <font>
      <b/>
      <i/>
      <u/>
      <sz val="14"/>
      <color theme="3"/>
      <name val="Calibri"/>
      <family val="2"/>
    </font>
    <font>
      <sz val="14"/>
      <color indexed="10"/>
      <name val="Arial"/>
      <family val="2"/>
      <scheme val="minor"/>
    </font>
    <font>
      <strike/>
      <sz val="14"/>
      <name val="Arial"/>
      <family val="2"/>
      <scheme val="minor"/>
    </font>
    <font>
      <b/>
      <strike/>
      <sz val="14"/>
      <color theme="4"/>
      <name val="Arial"/>
      <family val="2"/>
      <scheme val="minor"/>
    </font>
    <font>
      <strike/>
      <sz val="14"/>
      <color rgb="FFFF0000"/>
      <name val="Arial"/>
      <family val="2"/>
      <scheme val="minor"/>
    </font>
    <font>
      <u/>
      <sz val="14"/>
      <name val="Arial"/>
      <family val="2"/>
      <scheme val="minor"/>
    </font>
    <font>
      <sz val="10"/>
      <color theme="1"/>
      <name val="Verdana"/>
      <family val="2"/>
    </font>
    <font>
      <sz val="10"/>
      <color indexed="10"/>
      <name val="Verdana"/>
      <family val="2"/>
    </font>
    <font>
      <i/>
      <sz val="14"/>
      <name val="Arial"/>
      <family val="2"/>
      <scheme val="minor"/>
    </font>
    <font>
      <strike/>
      <sz val="14"/>
      <color indexed="10"/>
      <name val="Arial"/>
      <family val="2"/>
      <scheme val="minor"/>
    </font>
    <font>
      <sz val="14"/>
      <color rgb="FF000000"/>
      <name val="Arial"/>
      <family val="2"/>
      <scheme val="minor"/>
    </font>
    <font>
      <b/>
      <u/>
      <sz val="14"/>
      <color theme="4"/>
      <name val="Arial"/>
      <family val="2"/>
      <scheme val="minor"/>
    </font>
    <font>
      <b/>
      <sz val="14"/>
      <color rgb="FF00B050"/>
      <name val="Arial"/>
      <family val="2"/>
      <scheme val="minor"/>
    </font>
    <font>
      <sz val="14"/>
      <color theme="3"/>
      <name val="Arial"/>
      <family val="2"/>
      <scheme val="minor"/>
    </font>
    <font>
      <b/>
      <u/>
      <sz val="14"/>
      <color rgb="FF00B050"/>
      <name val="Arial"/>
      <family val="2"/>
      <scheme val="minor"/>
    </font>
    <font>
      <sz val="14"/>
      <color rgb="FF000000"/>
      <name val="Calibri"/>
      <family val="2"/>
    </font>
    <font>
      <b/>
      <sz val="14"/>
      <color indexed="10"/>
      <name val="Calibri"/>
      <family val="2"/>
    </font>
    <font>
      <sz val="11"/>
      <color rgb="FF1F497D"/>
      <name val="Arial"/>
      <family val="2"/>
      <scheme val="minor"/>
    </font>
    <font>
      <i/>
      <sz val="14"/>
      <color theme="1"/>
      <name val="Arial"/>
      <family val="2"/>
      <scheme val="minor"/>
    </font>
    <font>
      <sz val="14"/>
      <color rgb="FF00B0F0"/>
      <name val="Arial"/>
      <family val="2"/>
      <scheme val="minor"/>
    </font>
    <font>
      <sz val="12"/>
      <color theme="1"/>
      <name val="Verdana"/>
      <family val="2"/>
    </font>
    <font>
      <sz val="10"/>
      <color theme="1"/>
      <name val="Arial"/>
      <family val="2"/>
      <scheme val="minor"/>
    </font>
    <font>
      <b/>
      <sz val="12"/>
      <name val="Arial"/>
      <family val="2"/>
      <scheme val="minor"/>
    </font>
    <font>
      <sz val="12"/>
      <name val="Arial"/>
      <family val="2"/>
      <scheme val="minor"/>
    </font>
    <font>
      <sz val="10"/>
      <color rgb="FF434343"/>
      <name val="Arial"/>
      <family val="2"/>
    </font>
    <font>
      <sz val="12"/>
      <name val="Arial"/>
      <family val="2"/>
    </font>
    <font>
      <sz val="10"/>
      <color theme="1"/>
      <name val="MS sans serif"/>
    </font>
    <font>
      <sz val="10"/>
      <color theme="1"/>
      <name val="Arial"/>
      <family val="2"/>
      <scheme val="major"/>
    </font>
    <font>
      <sz val="8"/>
      <name val="Microsoft Sans Serif"/>
      <family val="2"/>
    </font>
    <font>
      <sz val="12"/>
      <name val="Helv"/>
    </font>
    <font>
      <sz val="11"/>
      <name val="Arial"/>
      <family val="2"/>
      <scheme val="minor"/>
    </font>
    <font>
      <sz val="10"/>
      <name val="Arial"/>
      <family val="2"/>
      <scheme val="minor"/>
    </font>
    <font>
      <b/>
      <i/>
      <sz val="11"/>
      <color indexed="8"/>
      <name val="Arial Narrow"/>
      <family val="2"/>
    </font>
    <font>
      <sz val="11"/>
      <color indexed="8"/>
      <name val="Arial Narrow"/>
      <family val="2"/>
    </font>
    <font>
      <b/>
      <sz val="11"/>
      <color rgb="FF000000"/>
      <name val="Arial"/>
      <family val="2"/>
    </font>
    <font>
      <b/>
      <sz val="11"/>
      <color rgb="FF212121"/>
      <name val="Arial"/>
      <family val="2"/>
    </font>
  </fonts>
  <fills count="13">
    <fill>
      <patternFill patternType="none"/>
    </fill>
    <fill>
      <patternFill patternType="gray125"/>
    </fill>
    <fill>
      <patternFill patternType="solid">
        <fgColor rgb="FF00FFFF"/>
        <bgColor rgb="FF00FFFF"/>
      </patternFill>
    </fill>
    <fill>
      <patternFill patternType="solid">
        <fgColor theme="0"/>
        <bgColor indexed="64"/>
      </patternFill>
    </fill>
    <fill>
      <patternFill patternType="solid">
        <fgColor indexed="56"/>
        <bgColor indexed="64"/>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theme="0"/>
        <bgColor rgb="FFFFFF00"/>
      </patternFill>
    </fill>
    <fill>
      <patternFill patternType="solid">
        <fgColor theme="0" tint="-4.9989318521683403E-2"/>
        <bgColor indexed="64"/>
      </patternFill>
    </fill>
    <fill>
      <patternFill patternType="solid">
        <fgColor indexed="22"/>
        <bgColor indexed="24"/>
      </patternFill>
    </fill>
    <fill>
      <patternFill patternType="solid">
        <fgColor theme="0"/>
        <bgColor rgb="FF000000"/>
      </patternFill>
    </fill>
    <fill>
      <patternFill patternType="solid">
        <fgColor theme="0"/>
        <bgColor rgb="FFFFFFFF"/>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thin">
        <color rgb="FF000000"/>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xf numFmtId="0" fontId="12"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0" fontId="19" fillId="0" borderId="0"/>
    <xf numFmtId="176" fontId="19" fillId="0" borderId="0" applyFont="0" applyFill="0" applyBorder="0" applyAlignment="0" applyProtection="0"/>
    <xf numFmtId="0" fontId="2" fillId="0" borderId="0"/>
    <xf numFmtId="0" fontId="1" fillId="0" borderId="0"/>
    <xf numFmtId="0" fontId="15" fillId="0" borderId="0"/>
    <xf numFmtId="0" fontId="1" fillId="0" borderId="0"/>
    <xf numFmtId="0" fontId="15" fillId="0" borderId="0"/>
    <xf numFmtId="0" fontId="15" fillId="0" borderId="0"/>
    <xf numFmtId="0" fontId="1" fillId="0" borderId="0"/>
    <xf numFmtId="0" fontId="1" fillId="0" borderId="0"/>
    <xf numFmtId="0" fontId="94" fillId="0" borderId="0"/>
    <xf numFmtId="184" fontId="95" fillId="0" borderId="0"/>
    <xf numFmtId="44" fontId="15" fillId="0" borderId="0" applyFont="0" applyFill="0" applyBorder="0" applyAlignment="0" applyProtection="0"/>
  </cellStyleXfs>
  <cellXfs count="794">
    <xf numFmtId="0" fontId="0" fillId="0" borderId="0" xfId="0" applyFont="1" applyAlignment="1"/>
    <xf numFmtId="0" fontId="6" fillId="2" borderId="0" xfId="0" applyFont="1" applyFill="1" applyAlignment="1"/>
    <xf numFmtId="0" fontId="6" fillId="2" borderId="0" xfId="0" applyFont="1" applyFill="1"/>
    <xf numFmtId="0" fontId="6" fillId="0" borderId="0" xfId="0" applyFont="1" applyAlignment="1">
      <alignment wrapText="1"/>
    </xf>
    <xf numFmtId="0" fontId="6" fillId="0" borderId="0" xfId="0" applyFont="1" applyAlignment="1">
      <alignment wrapText="1"/>
    </xf>
    <xf numFmtId="0" fontId="6" fillId="0" borderId="0" xfId="0" applyFont="1" applyAlignment="1"/>
    <xf numFmtId="0" fontId="7" fillId="0" borderId="0" xfId="0" applyFont="1" applyAlignment="1"/>
    <xf numFmtId="0" fontId="6" fillId="2" borderId="0" xfId="0" applyFont="1" applyFill="1" applyAlignment="1">
      <alignment wrapText="1"/>
    </xf>
    <xf numFmtId="0" fontId="6" fillId="0" borderId="0" xfId="0" applyFont="1" applyAlignment="1"/>
    <xf numFmtId="165" fontId="6" fillId="0" borderId="0" xfId="0" applyNumberFormat="1" applyFont="1"/>
    <xf numFmtId="3" fontId="6" fillId="0" borderId="0" xfId="0" applyNumberFormat="1" applyFont="1" applyAlignment="1"/>
    <xf numFmtId="10" fontId="6" fillId="0" borderId="0" xfId="0" applyNumberFormat="1" applyFont="1"/>
    <xf numFmtId="0" fontId="8" fillId="0" borderId="0" xfId="0" applyFont="1" applyAlignment="1"/>
    <xf numFmtId="164" fontId="6" fillId="0" borderId="0" xfId="0" applyNumberFormat="1" applyFont="1"/>
    <xf numFmtId="9" fontId="8" fillId="0" borderId="0" xfId="0" applyNumberFormat="1" applyFont="1" applyAlignment="1">
      <alignment horizontal="right" vertical="top"/>
    </xf>
    <xf numFmtId="0" fontId="9" fillId="0" borderId="0" xfId="0" applyFont="1" applyAlignment="1">
      <alignment horizontal="left" vertical="top"/>
    </xf>
    <xf numFmtId="165" fontId="8" fillId="0" borderId="0" xfId="0" applyNumberFormat="1" applyFont="1" applyAlignment="1">
      <alignment horizontal="left" vertical="top"/>
    </xf>
    <xf numFmtId="164" fontId="8" fillId="0" borderId="1" xfId="0" applyNumberFormat="1" applyFont="1" applyBorder="1" applyAlignment="1">
      <alignment horizontal="left" vertical="top"/>
    </xf>
    <xf numFmtId="9" fontId="8" fillId="0" borderId="1" xfId="0" applyNumberFormat="1" applyFont="1" applyBorder="1" applyAlignment="1">
      <alignment horizontal="right" vertical="top"/>
    </xf>
    <xf numFmtId="164" fontId="8" fillId="0" borderId="0" xfId="0" applyNumberFormat="1" applyFont="1" applyAlignment="1">
      <alignment horizontal="left" vertical="top"/>
    </xf>
    <xf numFmtId="9" fontId="8" fillId="0" borderId="0" xfId="0" applyNumberFormat="1" applyFont="1" applyAlignment="1">
      <alignment horizontal="left" vertical="top"/>
    </xf>
    <xf numFmtId="0" fontId="6" fillId="0" borderId="0" xfId="0" applyFont="1"/>
    <xf numFmtId="0" fontId="6" fillId="0" borderId="0" xfId="0" applyFont="1" applyAlignment="1"/>
    <xf numFmtId="10" fontId="6" fillId="0" borderId="0" xfId="0" applyNumberFormat="1" applyFont="1" applyAlignment="1"/>
    <xf numFmtId="164" fontId="6" fillId="0" borderId="0" xfId="0" applyNumberFormat="1" applyFont="1" applyAlignment="1"/>
    <xf numFmtId="0" fontId="10" fillId="0" borderId="0" xfId="0" applyFont="1" applyAlignment="1"/>
    <xf numFmtId="10" fontId="6" fillId="0" borderId="0" xfId="0" applyNumberFormat="1" applyFont="1" applyAlignment="1">
      <alignment horizontal="right"/>
    </xf>
    <xf numFmtId="0" fontId="11" fillId="0" borderId="0" xfId="0" applyFont="1" applyAlignment="1"/>
    <xf numFmtId="164" fontId="6" fillId="0" borderId="0" xfId="0" applyNumberFormat="1" applyFont="1" applyAlignment="1">
      <alignment horizontal="right"/>
    </xf>
    <xf numFmtId="9" fontId="6" fillId="0" borderId="0" xfId="0" applyNumberFormat="1" applyFont="1" applyAlignment="1">
      <alignment horizontal="right"/>
    </xf>
    <xf numFmtId="0" fontId="6" fillId="0" borderId="2" xfId="0" applyFont="1" applyBorder="1" applyAlignment="1"/>
    <xf numFmtId="10" fontId="8" fillId="0" borderId="0" xfId="0" applyNumberFormat="1" applyFont="1" applyAlignment="1">
      <alignment horizontal="right"/>
    </xf>
    <xf numFmtId="0" fontId="8" fillId="0" borderId="0" xfId="0" applyFont="1" applyAlignment="1"/>
    <xf numFmtId="0" fontId="11" fillId="0" borderId="2" xfId="0" applyFont="1" applyBorder="1" applyAlignment="1"/>
    <xf numFmtId="164" fontId="11" fillId="0" borderId="0" xfId="0" applyNumberFormat="1" applyFont="1" applyAlignment="1">
      <alignment horizontal="right"/>
    </xf>
    <xf numFmtId="164" fontId="8" fillId="0" borderId="0" xfId="0" applyNumberFormat="1" applyFont="1" applyAlignment="1">
      <alignment horizontal="right"/>
    </xf>
    <xf numFmtId="0" fontId="0" fillId="0" borderId="0" xfId="0" applyFont="1" applyAlignment="1"/>
    <xf numFmtId="0" fontId="0" fillId="0" borderId="0" xfId="0" applyFont="1" applyAlignment="1"/>
    <xf numFmtId="166" fontId="8" fillId="0" borderId="0" xfId="2" applyNumberFormat="1" applyFont="1" applyAlignment="1">
      <alignment horizontal="left" vertical="top"/>
    </xf>
    <xf numFmtId="0" fontId="0" fillId="0" borderId="0" xfId="0" applyFont="1" applyAlignment="1">
      <alignment horizontal="left" vertical="top"/>
    </xf>
    <xf numFmtId="0" fontId="0" fillId="0" borderId="0" xfId="0"/>
    <xf numFmtId="0" fontId="12" fillId="0" borderId="0" xfId="1" applyAlignment="1">
      <alignment horizontal="left" vertical="top"/>
    </xf>
    <xf numFmtId="166" fontId="0" fillId="0" borderId="0" xfId="0" applyNumberFormat="1" applyFont="1" applyAlignment="1"/>
    <xf numFmtId="168" fontId="0" fillId="0" borderId="0" xfId="0" applyNumberFormat="1" applyFont="1" applyAlignment="1"/>
    <xf numFmtId="169" fontId="0" fillId="0" borderId="0" xfId="0" applyNumberFormat="1" applyFont="1" applyAlignment="1"/>
    <xf numFmtId="165" fontId="0" fillId="0" borderId="0" xfId="0" applyNumberFormat="1" applyFont="1" applyAlignment="1"/>
    <xf numFmtId="170" fontId="0" fillId="0" borderId="0" xfId="0" applyNumberFormat="1" applyFont="1" applyAlignment="1"/>
    <xf numFmtId="0" fontId="14" fillId="0" borderId="0" xfId="0" applyFont="1" applyAlignment="1"/>
    <xf numFmtId="0" fontId="12" fillId="0" borderId="0" xfId="1" applyAlignment="1"/>
    <xf numFmtId="0" fontId="13" fillId="0" borderId="11" xfId="6" applyFont="1" applyBorder="1"/>
    <xf numFmtId="0" fontId="13" fillId="0" borderId="11" xfId="6" applyFont="1" applyBorder="1" applyAlignment="1">
      <alignment horizontal="center" wrapText="1"/>
    </xf>
    <xf numFmtId="165" fontId="16" fillId="0" borderId="11" xfId="6" applyNumberFormat="1" applyFont="1" applyBorder="1"/>
    <xf numFmtId="165" fontId="17" fillId="0" borderId="11" xfId="6" applyNumberFormat="1" applyFont="1" applyBorder="1"/>
    <xf numFmtId="0" fontId="13" fillId="0" borderId="0" xfId="6" applyFont="1" applyFill="1" applyBorder="1"/>
    <xf numFmtId="9" fontId="16" fillId="0" borderId="11" xfId="7" applyFont="1" applyBorder="1"/>
    <xf numFmtId="44" fontId="0" fillId="0" borderId="0" xfId="3" applyFont="1" applyAlignment="1"/>
    <xf numFmtId="168" fontId="0" fillId="0" borderId="0" xfId="3" applyNumberFormat="1" applyFont="1"/>
    <xf numFmtId="168" fontId="0" fillId="0" borderId="0" xfId="3" applyNumberFormat="1" applyFont="1" applyAlignment="1"/>
    <xf numFmtId="0" fontId="14" fillId="0" borderId="0" xfId="0" applyFont="1"/>
    <xf numFmtId="169" fontId="0" fillId="0" borderId="0" xfId="4" applyNumberFormat="1" applyFont="1" applyAlignment="1"/>
    <xf numFmtId="166" fontId="0" fillId="0" borderId="0" xfId="2" applyNumberFormat="1" applyFont="1"/>
    <xf numFmtId="168" fontId="0" fillId="0" borderId="0" xfId="0" applyNumberFormat="1"/>
    <xf numFmtId="166" fontId="0" fillId="0" borderId="0" xfId="0" applyNumberFormat="1"/>
    <xf numFmtId="43" fontId="0" fillId="0" borderId="0" xfId="0" applyNumberFormat="1"/>
    <xf numFmtId="0" fontId="12" fillId="0" borderId="0" xfId="1"/>
    <xf numFmtId="0" fontId="0" fillId="0" borderId="0" xfId="0" applyAlignment="1">
      <alignment wrapText="1"/>
    </xf>
    <xf numFmtId="170" fontId="0" fillId="0" borderId="0" xfId="0" applyNumberFormat="1"/>
    <xf numFmtId="168" fontId="0" fillId="0" borderId="0" xfId="0" applyNumberFormat="1" applyFont="1" applyAlignment="1">
      <alignment wrapText="1"/>
    </xf>
    <xf numFmtId="0" fontId="18" fillId="0" borderId="0" xfId="0" applyFont="1" applyAlignment="1"/>
    <xf numFmtId="168" fontId="12" fillId="0" borderId="0" xfId="3" applyNumberFormat="1" applyFont="1" applyAlignment="1"/>
    <xf numFmtId="168" fontId="0" fillId="0" borderId="0" xfId="3" applyNumberFormat="1" applyFont="1" applyAlignment="1">
      <alignment wrapText="1"/>
    </xf>
    <xf numFmtId="0" fontId="21" fillId="0" borderId="0" xfId="0" applyFont="1"/>
    <xf numFmtId="0" fontId="22" fillId="0" borderId="11" xfId="8" applyFont="1" applyBorder="1" applyAlignment="1">
      <alignment horizontal="right"/>
    </xf>
    <xf numFmtId="171" fontId="23" fillId="4" borderId="12" xfId="8" applyNumberFormat="1" applyFont="1" applyFill="1" applyBorder="1" applyAlignment="1">
      <alignment horizontal="center" vertical="center" wrapText="1"/>
    </xf>
    <xf numFmtId="172" fontId="22" fillId="0" borderId="11" xfId="9" applyNumberFormat="1" applyFont="1" applyFill="1" applyBorder="1" applyAlignment="1">
      <alignment horizontal="center"/>
    </xf>
    <xf numFmtId="0" fontId="24" fillId="0" borderId="0" xfId="0" applyFont="1"/>
    <xf numFmtId="173" fontId="25" fillId="0" borderId="11" xfId="0" applyNumberFormat="1" applyFont="1" applyBorder="1" applyAlignment="1">
      <alignment horizontal="center" vertical="center"/>
    </xf>
    <xf numFmtId="173" fontId="22" fillId="0" borderId="11" xfId="9" applyNumberFormat="1" applyFont="1" applyFill="1" applyBorder="1" applyAlignment="1">
      <alignment horizontal="center"/>
    </xf>
    <xf numFmtId="9" fontId="22" fillId="0" borderId="11" xfId="4" applyFont="1" applyFill="1" applyBorder="1" applyAlignment="1">
      <alignment horizontal="center"/>
    </xf>
    <xf numFmtId="0" fontId="20" fillId="4" borderId="11" xfId="0" applyFont="1" applyFill="1" applyBorder="1" applyAlignment="1">
      <alignment horizontal="left" vertical="top"/>
    </xf>
    <xf numFmtId="169" fontId="22" fillId="0" borderId="11" xfId="4" applyNumberFormat="1" applyFont="1" applyFill="1" applyBorder="1" applyAlignment="1">
      <alignment horizontal="center"/>
    </xf>
    <xf numFmtId="174" fontId="22" fillId="0" borderId="11" xfId="9" applyNumberFormat="1" applyFont="1" applyFill="1" applyBorder="1" applyAlignment="1">
      <alignment horizontal="center"/>
    </xf>
    <xf numFmtId="175" fontId="22" fillId="0" borderId="11" xfId="9" applyNumberFormat="1" applyFont="1" applyFill="1" applyBorder="1" applyAlignment="1">
      <alignment horizontal="center"/>
    </xf>
    <xf numFmtId="0" fontId="6" fillId="0" borderId="11" xfId="0" applyFont="1" applyBorder="1" applyAlignment="1"/>
    <xf numFmtId="0" fontId="0" fillId="0" borderId="11" xfId="0" applyFont="1" applyBorder="1" applyAlignment="1"/>
    <xf numFmtId="171" fontId="6" fillId="0" borderId="11" xfId="0" applyNumberFormat="1" applyFont="1" applyBorder="1" applyAlignment="1"/>
    <xf numFmtId="171" fontId="0" fillId="0" borderId="11" xfId="0" applyNumberFormat="1" applyFont="1" applyBorder="1" applyAlignment="1"/>
    <xf numFmtId="165" fontId="6" fillId="0" borderId="11" xfId="0" applyNumberFormat="1" applyFont="1" applyBorder="1" applyAlignment="1"/>
    <xf numFmtId="165" fontId="0" fillId="0" borderId="11" xfId="0" applyNumberFormat="1" applyFont="1" applyBorder="1" applyAlignment="1"/>
    <xf numFmtId="0" fontId="0" fillId="0" borderId="0" xfId="0" applyFont="1" applyBorder="1" applyAlignment="1"/>
    <xf numFmtId="173" fontId="0" fillId="0" borderId="0" xfId="0" applyNumberFormat="1" applyFont="1" applyBorder="1" applyAlignment="1"/>
    <xf numFmtId="169" fontId="0" fillId="0" borderId="0" xfId="0" applyNumberFormat="1" applyFont="1" applyBorder="1" applyAlignment="1"/>
    <xf numFmtId="9" fontId="0" fillId="0" borderId="0" xfId="0" applyNumberFormat="1" applyFont="1" applyBorder="1" applyAlignment="1"/>
    <xf numFmtId="10" fontId="22" fillId="0" borderId="11" xfId="4" applyNumberFormat="1" applyFont="1" applyFill="1" applyBorder="1" applyAlignment="1">
      <alignment horizontal="center"/>
    </xf>
    <xf numFmtId="177" fontId="22" fillId="0" borderId="11" xfId="9" applyNumberFormat="1" applyFont="1" applyFill="1" applyBorder="1" applyAlignment="1">
      <alignment horizontal="center"/>
    </xf>
    <xf numFmtId="0" fontId="22" fillId="0" borderId="4" xfId="8" applyFont="1" applyBorder="1" applyAlignment="1">
      <alignment horizontal="right"/>
    </xf>
    <xf numFmtId="173" fontId="22" fillId="0" borderId="4" xfId="9" applyNumberFormat="1" applyFont="1" applyFill="1" applyBorder="1" applyAlignment="1">
      <alignment horizontal="center"/>
    </xf>
    <xf numFmtId="9" fontId="22" fillId="0" borderId="4" xfId="4" applyFont="1" applyFill="1" applyBorder="1" applyAlignment="1">
      <alignment horizontal="center"/>
    </xf>
    <xf numFmtId="0" fontId="20" fillId="4" borderId="0" xfId="0" applyFont="1" applyFill="1" applyBorder="1" applyAlignment="1">
      <alignment horizontal="left" vertical="top"/>
    </xf>
    <xf numFmtId="9" fontId="22" fillId="0" borderId="0" xfId="4" applyFont="1" applyFill="1" applyBorder="1" applyAlignment="1">
      <alignment horizontal="center"/>
    </xf>
    <xf numFmtId="0" fontId="0" fillId="0" borderId="0" xfId="0" applyFont="1" applyAlignment="1"/>
    <xf numFmtId="0" fontId="13" fillId="0" borderId="0" xfId="0" applyFont="1"/>
    <xf numFmtId="168" fontId="0" fillId="0" borderId="0" xfId="3" applyNumberFormat="1" applyFont="1" applyFill="1" applyAlignment="1"/>
    <xf numFmtId="0" fontId="4" fillId="0" borderId="0" xfId="0" applyFont="1"/>
    <xf numFmtId="168" fontId="14" fillId="0" borderId="0" xfId="3" applyNumberFormat="1" applyFont="1" applyAlignment="1"/>
    <xf numFmtId="168" fontId="8" fillId="0" borderId="0" xfId="3" applyNumberFormat="1" applyFont="1" applyAlignment="1"/>
    <xf numFmtId="2" fontId="0" fillId="0" borderId="0" xfId="3" applyNumberFormat="1" applyFont="1"/>
    <xf numFmtId="0" fontId="27" fillId="0" borderId="0" xfId="0" applyFont="1"/>
    <xf numFmtId="168" fontId="27" fillId="0" borderId="0" xfId="3" applyNumberFormat="1" applyFont="1" applyAlignment="1"/>
    <xf numFmtId="0" fontId="27" fillId="0" borderId="0" xfId="3" applyNumberFormat="1" applyFont="1" applyAlignment="1">
      <alignment wrapText="1"/>
    </xf>
    <xf numFmtId="168" fontId="27" fillId="0" borderId="0" xfId="3" applyNumberFormat="1" applyFont="1" applyAlignment="1">
      <alignment wrapText="1"/>
    </xf>
    <xf numFmtId="0" fontId="27" fillId="0" borderId="0" xfId="0" applyFont="1" applyAlignment="1">
      <alignment wrapText="1"/>
    </xf>
    <xf numFmtId="0" fontId="0" fillId="0" borderId="0" xfId="0" applyFont="1" applyAlignment="1">
      <alignment wrapText="1"/>
    </xf>
    <xf numFmtId="0" fontId="28" fillId="0" borderId="0" xfId="0" applyFont="1"/>
    <xf numFmtId="0" fontId="27" fillId="0" borderId="0" xfId="0" applyFont="1" applyAlignment="1"/>
    <xf numFmtId="0" fontId="28" fillId="0" borderId="0" xfId="0" applyFont="1" applyAlignment="1">
      <alignment wrapText="1"/>
    </xf>
    <xf numFmtId="10" fontId="0" fillId="0" borderId="0" xfId="0" applyNumberFormat="1" applyFont="1" applyAlignment="1"/>
    <xf numFmtId="0" fontId="11" fillId="0" borderId="0" xfId="0" applyFont="1" applyAlignment="1">
      <alignment wrapText="1"/>
    </xf>
    <xf numFmtId="0" fontId="31" fillId="6" borderId="0" xfId="0" applyFont="1" applyFill="1" applyAlignment="1">
      <alignment horizontal="right" wrapText="1"/>
    </xf>
    <xf numFmtId="0" fontId="31" fillId="6" borderId="0" xfId="0" applyFont="1" applyFill="1" applyAlignment="1">
      <alignment horizontal="center" wrapText="1"/>
    </xf>
    <xf numFmtId="0" fontId="11" fillId="0" borderId="0" xfId="0" applyFont="1" applyAlignment="1">
      <alignment horizontal="right" wrapText="1"/>
    </xf>
    <xf numFmtId="0" fontId="11" fillId="0" borderId="0" xfId="0" applyFont="1" applyAlignment="1">
      <alignment horizontal="center" wrapText="1"/>
    </xf>
    <xf numFmtId="6" fontId="11" fillId="0" borderId="0" xfId="0" applyNumberFormat="1" applyFont="1" applyAlignment="1">
      <alignment horizontal="center" wrapText="1"/>
    </xf>
    <xf numFmtId="0" fontId="11" fillId="0" borderId="0" xfId="0" applyFont="1" applyAlignment="1">
      <alignment horizontal="right" vertical="center" wrapText="1"/>
    </xf>
    <xf numFmtId="6" fontId="11" fillId="0" borderId="0" xfId="0" applyNumberFormat="1" applyFont="1" applyAlignment="1">
      <alignment horizontal="center" vertical="center" wrapText="1"/>
    </xf>
    <xf numFmtId="0" fontId="11" fillId="0" borderId="0" xfId="0" applyFont="1" applyAlignment="1">
      <alignment vertical="center" wrapText="1"/>
    </xf>
    <xf numFmtId="9" fontId="11" fillId="0" borderId="0" xfId="0" applyNumberFormat="1" applyFont="1" applyAlignment="1">
      <alignment horizontal="center" wrapText="1"/>
    </xf>
    <xf numFmtId="0" fontId="33" fillId="0" borderId="0" xfId="0" applyFont="1" applyAlignment="1">
      <alignment horizontal="right" wrapText="1"/>
    </xf>
    <xf numFmtId="0" fontId="33" fillId="0" borderId="0" xfId="0" applyFont="1" applyAlignment="1">
      <alignment wrapText="1"/>
    </xf>
    <xf numFmtId="0" fontId="8" fillId="0" borderId="0" xfId="0" applyFont="1"/>
    <xf numFmtId="9" fontId="0" fillId="0" borderId="0" xfId="0" applyNumberFormat="1"/>
    <xf numFmtId="0" fontId="0" fillId="0" borderId="0" xfId="0" applyFont="1"/>
    <xf numFmtId="10" fontId="0" fillId="0" borderId="0" xfId="0" applyNumberFormat="1"/>
    <xf numFmtId="169" fontId="0" fillId="0" borderId="0" xfId="0" applyNumberFormat="1"/>
    <xf numFmtId="0" fontId="13" fillId="3" borderId="0" xfId="0" applyFont="1" applyFill="1" applyAlignment="1">
      <alignment wrapText="1"/>
    </xf>
    <xf numFmtId="169" fontId="0" fillId="3" borderId="0" xfId="4" applyNumberFormat="1" applyFont="1" applyFill="1"/>
    <xf numFmtId="0" fontId="0" fillId="3" borderId="0" xfId="0" applyFill="1"/>
    <xf numFmtId="169" fontId="0" fillId="3" borderId="0" xfId="0" applyNumberFormat="1" applyFill="1"/>
    <xf numFmtId="10" fontId="0" fillId="3" borderId="0" xfId="0" applyNumberFormat="1" applyFill="1"/>
    <xf numFmtId="0" fontId="0" fillId="0" borderId="0" xfId="0" applyFont="1" applyAlignment="1"/>
    <xf numFmtId="168" fontId="0" fillId="7" borderId="0" xfId="3" applyNumberFormat="1" applyFont="1" applyFill="1" applyAlignment="1"/>
    <xf numFmtId="44" fontId="0" fillId="0" borderId="0" xfId="0" applyNumberFormat="1" applyFont="1" applyAlignment="1"/>
    <xf numFmtId="0" fontId="8" fillId="0" borderId="0" xfId="0" applyFont="1" applyAlignment="1">
      <alignment vertical="center"/>
    </xf>
    <xf numFmtId="0" fontId="12" fillId="0" borderId="0" xfId="1" applyAlignment="1">
      <alignment vertical="center"/>
    </xf>
    <xf numFmtId="0" fontId="8"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vertical="top"/>
    </xf>
    <xf numFmtId="0" fontId="0" fillId="0" borderId="0" xfId="0" applyFont="1" applyAlignment="1"/>
    <xf numFmtId="166" fontId="0" fillId="0" borderId="0" xfId="2" applyNumberFormat="1" applyFont="1" applyAlignment="1"/>
    <xf numFmtId="0" fontId="36" fillId="0" borderId="0" xfId="0" applyFont="1" applyFill="1" applyBorder="1" applyAlignment="1"/>
    <xf numFmtId="0" fontId="36" fillId="0" borderId="0" xfId="0" applyFont="1" applyAlignment="1"/>
    <xf numFmtId="173" fontId="22" fillId="0" borderId="0" xfId="9" applyNumberFormat="1" applyFont="1" applyFill="1" applyBorder="1" applyAlignment="1">
      <alignment horizontal="center"/>
    </xf>
    <xf numFmtId="169" fontId="22" fillId="0" borderId="0" xfId="4" applyNumberFormat="1" applyFont="1" applyFill="1" applyBorder="1" applyAlignment="1">
      <alignment horizontal="center"/>
    </xf>
    <xf numFmtId="0" fontId="37" fillId="0" borderId="0" xfId="8" applyFont="1" applyBorder="1" applyAlignment="1">
      <alignment horizontal="left"/>
    </xf>
    <xf numFmtId="171" fontId="23" fillId="4" borderId="14" xfId="8" applyNumberFormat="1" applyFont="1" applyFill="1" applyBorder="1" applyAlignment="1">
      <alignment horizontal="center" vertical="center" wrapText="1"/>
    </xf>
    <xf numFmtId="0" fontId="20" fillId="4" borderId="11" xfId="0" applyFont="1" applyFill="1" applyBorder="1" applyAlignment="1">
      <alignment vertical="top"/>
    </xf>
    <xf numFmtId="0" fontId="22" fillId="0" borderId="0" xfId="8" applyFont="1" applyAlignment="1">
      <alignment horizontal="right"/>
    </xf>
    <xf numFmtId="0" fontId="20" fillId="0" borderId="0" xfId="0" applyFont="1" applyAlignment="1">
      <alignment vertical="top"/>
    </xf>
    <xf numFmtId="0" fontId="20" fillId="0" borderId="0" xfId="0" applyFont="1" applyAlignment="1">
      <alignment horizontal="left" vertical="top"/>
    </xf>
    <xf numFmtId="0" fontId="0" fillId="0" borderId="0" xfId="0" applyFill="1"/>
    <xf numFmtId="0" fontId="39" fillId="3" borderId="0" xfId="0" applyFont="1" applyFill="1" applyBorder="1" applyAlignment="1">
      <alignment horizontal="left"/>
    </xf>
    <xf numFmtId="0" fontId="48" fillId="3" borderId="0" xfId="0" applyFont="1" applyFill="1" applyBorder="1" applyAlignment="1">
      <alignment horizontal="left"/>
    </xf>
    <xf numFmtId="167" fontId="42" fillId="3" borderId="0" xfId="0" applyNumberFormat="1" applyFont="1" applyFill="1" applyBorder="1" applyAlignment="1">
      <alignment horizontal="left"/>
    </xf>
    <xf numFmtId="167" fontId="42" fillId="3" borderId="16" xfId="0" applyNumberFormat="1" applyFont="1" applyFill="1" applyBorder="1" applyAlignment="1">
      <alignment horizontal="center"/>
    </xf>
    <xf numFmtId="167" fontId="42" fillId="3" borderId="0" xfId="0" applyNumberFormat="1" applyFont="1" applyFill="1" applyBorder="1" applyAlignment="1">
      <alignment horizontal="center"/>
    </xf>
    <xf numFmtId="167" fontId="42" fillId="3" borderId="0" xfId="0" applyNumberFormat="1" applyFont="1" applyFill="1" applyBorder="1" applyAlignment="1">
      <alignment horizontal="center" vertical="top"/>
    </xf>
    <xf numFmtId="167" fontId="42" fillId="3" borderId="4" xfId="0" applyNumberFormat="1" applyFont="1" applyFill="1" applyBorder="1" applyAlignment="1">
      <alignment horizontal="center"/>
    </xf>
    <xf numFmtId="0" fontId="42" fillId="3" borderId="0" xfId="0" applyFont="1" applyFill="1" applyBorder="1" applyAlignment="1">
      <alignment horizontal="center"/>
    </xf>
    <xf numFmtId="0" fontId="42" fillId="3" borderId="0" xfId="0" applyFont="1" applyFill="1" applyBorder="1" applyAlignment="1">
      <alignment horizontal="left"/>
    </xf>
    <xf numFmtId="167" fontId="42" fillId="3" borderId="9" xfId="0" applyNumberFormat="1" applyFont="1" applyFill="1" applyBorder="1" applyAlignment="1">
      <alignment horizontal="center"/>
    </xf>
    <xf numFmtId="0" fontId="42" fillId="3" borderId="16" xfId="0" applyFont="1" applyFill="1" applyBorder="1" applyAlignment="1">
      <alignment horizontal="left"/>
    </xf>
    <xf numFmtId="0" fontId="41" fillId="3" borderId="0" xfId="0" applyFont="1" applyFill="1" applyBorder="1"/>
    <xf numFmtId="0" fontId="41" fillId="3" borderId="16" xfId="0" applyFont="1" applyFill="1" applyBorder="1"/>
    <xf numFmtId="0" fontId="41" fillId="3" borderId="0" xfId="0" applyFont="1" applyFill="1" applyBorder="1" applyAlignment="1">
      <alignment horizontal="center"/>
    </xf>
    <xf numFmtId="0" fontId="41" fillId="3" borderId="0" xfId="0" applyFont="1" applyFill="1" applyBorder="1" applyAlignment="1"/>
    <xf numFmtId="0" fontId="42" fillId="3" borderId="0" xfId="0" applyFont="1" applyFill="1" applyBorder="1" applyAlignment="1">
      <alignment vertical="top"/>
    </xf>
    <xf numFmtId="0" fontId="90" fillId="0" borderId="0" xfId="0" applyFont="1" applyAlignment="1"/>
    <xf numFmtId="0" fontId="18" fillId="0" borderId="0" xfId="0" applyFont="1"/>
    <xf numFmtId="181" fontId="0" fillId="0" borderId="0" xfId="0" applyNumberFormat="1" applyFont="1"/>
    <xf numFmtId="168" fontId="0" fillId="0" borderId="0" xfId="0" applyNumberFormat="1" applyFont="1"/>
    <xf numFmtId="182" fontId="0" fillId="0" borderId="0" xfId="0" applyNumberFormat="1" applyFont="1"/>
    <xf numFmtId="179" fontId="0" fillId="0" borderId="0" xfId="0" applyNumberFormat="1" applyFont="1"/>
    <xf numFmtId="0" fontId="91" fillId="0" borderId="0" xfId="0" applyFont="1" applyAlignment="1"/>
    <xf numFmtId="0" fontId="28" fillId="0" borderId="0" xfId="0" applyFont="1" applyAlignment="1"/>
    <xf numFmtId="0" fontId="0" fillId="0" borderId="0" xfId="0" applyFont="1" applyAlignment="1">
      <alignment horizontal="center" wrapText="1"/>
    </xf>
    <xf numFmtId="0" fontId="0" fillId="0" borderId="7" xfId="0" applyFont="1" applyBorder="1" applyAlignment="1"/>
    <xf numFmtId="168" fontId="0" fillId="0" borderId="6" xfId="3" applyNumberFormat="1" applyFont="1" applyBorder="1" applyAlignment="1"/>
    <xf numFmtId="183" fontId="0" fillId="0" borderId="0" xfId="3" applyNumberFormat="1" applyFont="1"/>
    <xf numFmtId="0" fontId="0" fillId="3" borderId="0" xfId="0" applyFont="1" applyFill="1" applyAlignment="1"/>
    <xf numFmtId="0" fontId="0" fillId="8" borderId="0" xfId="0" applyFont="1" applyFill="1" applyBorder="1"/>
    <xf numFmtId="168" fontId="0" fillId="8" borderId="6" xfId="3" applyNumberFormat="1" applyFont="1" applyFill="1" applyBorder="1"/>
    <xf numFmtId="0" fontId="0" fillId="8" borderId="7" xfId="0" applyFont="1" applyFill="1" applyBorder="1"/>
    <xf numFmtId="168" fontId="0" fillId="8" borderId="0" xfId="3" applyNumberFormat="1" applyFont="1" applyFill="1" applyBorder="1"/>
    <xf numFmtId="181" fontId="0" fillId="8" borderId="7" xfId="0" applyNumberFormat="1" applyFont="1" applyFill="1" applyBorder="1"/>
    <xf numFmtId="43" fontId="0" fillId="3" borderId="0" xfId="0" applyNumberFormat="1" applyFont="1" applyFill="1"/>
    <xf numFmtId="166" fontId="0" fillId="3" borderId="0" xfId="0" applyNumberFormat="1" applyFont="1" applyFill="1"/>
    <xf numFmtId="168" fontId="0" fillId="3" borderId="0" xfId="3" applyNumberFormat="1" applyFont="1" applyFill="1"/>
    <xf numFmtId="168" fontId="0" fillId="8" borderId="0" xfId="0" applyNumberFormat="1" applyFont="1" applyFill="1" applyBorder="1"/>
    <xf numFmtId="168" fontId="0" fillId="3" borderId="0" xfId="0" applyNumberFormat="1" applyFont="1" applyFill="1"/>
    <xf numFmtId="182" fontId="0" fillId="3" borderId="0" xfId="0" applyNumberFormat="1" applyFont="1" applyFill="1"/>
    <xf numFmtId="181" fontId="0" fillId="3" borderId="0" xfId="0" applyNumberFormat="1" applyFont="1" applyFill="1"/>
    <xf numFmtId="166" fontId="0" fillId="3" borderId="0" xfId="0" applyNumberFormat="1" applyFont="1" applyFill="1" applyAlignment="1"/>
    <xf numFmtId="0" fontId="28" fillId="0" borderId="9" xfId="0" applyFont="1" applyBorder="1" applyAlignment="1">
      <alignment wrapText="1"/>
    </xf>
    <xf numFmtId="168" fontId="28" fillId="0" borderId="8" xfId="3" applyNumberFormat="1" applyFont="1" applyBorder="1" applyAlignment="1">
      <alignment wrapText="1"/>
    </xf>
    <xf numFmtId="0" fontId="28" fillId="0" borderId="10" xfId="0" applyFont="1" applyBorder="1" applyAlignment="1">
      <alignment wrapText="1"/>
    </xf>
    <xf numFmtId="168" fontId="28" fillId="0" borderId="9" xfId="3" applyNumberFormat="1" applyFont="1" applyBorder="1" applyAlignment="1">
      <alignment wrapText="1"/>
    </xf>
    <xf numFmtId="0" fontId="8" fillId="0" borderId="9" xfId="0" applyFont="1" applyBorder="1" applyAlignment="1">
      <alignment wrapText="1"/>
    </xf>
    <xf numFmtId="181" fontId="0" fillId="0" borderId="0" xfId="2" applyNumberFormat="1" applyFont="1" applyAlignment="1"/>
    <xf numFmtId="43" fontId="0" fillId="0" borderId="0" xfId="0" applyNumberFormat="1" applyFont="1" applyAlignment="1"/>
    <xf numFmtId="168" fontId="6" fillId="0" borderId="0" xfId="3" applyNumberFormat="1" applyFont="1" applyAlignment="1"/>
    <xf numFmtId="183" fontId="0" fillId="0" borderId="0" xfId="3" applyNumberFormat="1" applyFont="1" applyAlignment="1"/>
    <xf numFmtId="0" fontId="0" fillId="0" borderId="0" xfId="0" applyFont="1" applyAlignment="1"/>
    <xf numFmtId="0" fontId="0" fillId="0" borderId="0" xfId="0" applyFont="1" applyAlignment="1"/>
    <xf numFmtId="9" fontId="13" fillId="0" borderId="0" xfId="4" applyNumberFormat="1" applyFont="1" applyAlignment="1">
      <alignment horizontal="center"/>
    </xf>
    <xf numFmtId="169" fontId="0" fillId="0" borderId="0" xfId="4" applyNumberFormat="1" applyFont="1" applyAlignment="1">
      <alignment horizontal="center"/>
    </xf>
    <xf numFmtId="0" fontId="0" fillId="0" borderId="0" xfId="0" applyFill="1" applyAlignment="1">
      <alignment horizontal="left"/>
    </xf>
    <xf numFmtId="169" fontId="0" fillId="9" borderId="0" xfId="4" applyNumberFormat="1" applyFont="1" applyFill="1" applyAlignment="1">
      <alignment horizontal="center"/>
    </xf>
    <xf numFmtId="9" fontId="0" fillId="0" borderId="0" xfId="4" applyNumberFormat="1" applyFont="1" applyAlignment="1">
      <alignment horizontal="center"/>
    </xf>
    <xf numFmtId="0" fontId="22" fillId="0" borderId="0" xfId="8" applyFont="1" applyFill="1" applyBorder="1" applyAlignment="1">
      <alignment horizontal="right"/>
    </xf>
    <xf numFmtId="0" fontId="0" fillId="0" borderId="0" xfId="0" applyFont="1" applyFill="1" applyBorder="1" applyAlignment="1"/>
    <xf numFmtId="3" fontId="92" fillId="0" borderId="0" xfId="10" applyNumberFormat="1" applyFont="1" applyBorder="1" applyAlignment="1" applyProtection="1">
      <alignment horizontal="right"/>
      <protection locked="0"/>
    </xf>
    <xf numFmtId="3" fontId="87" fillId="0" borderId="17" xfId="10" applyNumberFormat="1" applyFont="1" applyBorder="1" applyAlignment="1" applyProtection="1">
      <alignment horizontal="right"/>
      <protection locked="0"/>
    </xf>
    <xf numFmtId="3" fontId="87" fillId="0" borderId="11" xfId="10" applyNumberFormat="1" applyFont="1" applyBorder="1" applyAlignment="1" applyProtection="1">
      <alignment horizontal="right"/>
      <protection locked="0"/>
    </xf>
    <xf numFmtId="10" fontId="87" fillId="0" borderId="0" xfId="4" applyNumberFormat="1" applyFont="1" applyBorder="1" applyAlignment="1" applyProtection="1">
      <alignment horizontal="right"/>
      <protection locked="0"/>
    </xf>
    <xf numFmtId="168" fontId="87" fillId="0" borderId="0" xfId="3" applyNumberFormat="1" applyFont="1" applyBorder="1" applyAlignment="1" applyProtection="1">
      <alignment horizontal="right"/>
      <protection locked="0"/>
    </xf>
    <xf numFmtId="9" fontId="0" fillId="0" borderId="0" xfId="4" applyFont="1" applyAlignment="1"/>
    <xf numFmtId="0" fontId="35" fillId="0" borderId="0" xfId="0" applyFont="1" applyAlignment="1"/>
    <xf numFmtId="0" fontId="0" fillId="0" borderId="0" xfId="0" applyFont="1" applyAlignment="1"/>
    <xf numFmtId="3" fontId="93" fillId="0" borderId="0" xfId="0" applyNumberFormat="1" applyFont="1" applyAlignment="1">
      <alignment horizontal="right"/>
    </xf>
    <xf numFmtId="0" fontId="8" fillId="0" borderId="0" xfId="0" applyFont="1" applyFill="1" applyBorder="1" applyAlignment="1"/>
    <xf numFmtId="43" fontId="0" fillId="0" borderId="0" xfId="2" applyFont="1" applyAlignment="1"/>
    <xf numFmtId="0" fontId="0" fillId="0" borderId="0" xfId="0" applyFont="1" applyAlignment="1"/>
    <xf numFmtId="168" fontId="18" fillId="0" borderId="0" xfId="3" applyNumberFormat="1" applyFont="1" applyAlignment="1"/>
    <xf numFmtId="166" fontId="18" fillId="0" borderId="0" xfId="2" applyNumberFormat="1" applyFont="1" applyAlignment="1"/>
    <xf numFmtId="169" fontId="8" fillId="0" borderId="0" xfId="4" applyNumberFormat="1" applyFont="1" applyAlignment="1"/>
    <xf numFmtId="169" fontId="18" fillId="0" borderId="0" xfId="4" applyNumberFormat="1" applyFont="1" applyAlignment="1"/>
    <xf numFmtId="0" fontId="0" fillId="0" borderId="0" xfId="0" applyFont="1" applyAlignment="1"/>
    <xf numFmtId="185" fontId="0" fillId="0" borderId="0" xfId="0" applyNumberFormat="1" applyFont="1" applyAlignment="1"/>
    <xf numFmtId="9" fontId="8" fillId="0" borderId="0" xfId="0" applyNumberFormat="1" applyFont="1" applyAlignment="1"/>
    <xf numFmtId="179" fontId="0" fillId="0" borderId="0" xfId="0" applyNumberFormat="1"/>
    <xf numFmtId="43" fontId="8" fillId="0" borderId="0" xfId="2" applyFont="1" applyFill="1"/>
    <xf numFmtId="167" fontId="10" fillId="0" borderId="0" xfId="0" applyNumberFormat="1" applyFont="1" applyFill="1" applyAlignment="1">
      <alignment wrapText="1"/>
    </xf>
    <xf numFmtId="0" fontId="0" fillId="0" borderId="0" xfId="0" applyFont="1" applyAlignment="1"/>
    <xf numFmtId="0" fontId="13" fillId="0" borderId="11" xfId="6" applyFont="1" applyFill="1" applyBorder="1" applyAlignment="1">
      <alignment horizontal="center" wrapText="1"/>
    </xf>
    <xf numFmtId="165" fontId="16" fillId="0" borderId="11" xfId="6" applyNumberFormat="1" applyFont="1" applyFill="1" applyBorder="1"/>
    <xf numFmtId="165" fontId="17" fillId="0" borderId="11" xfId="6" applyNumberFormat="1" applyFont="1" applyFill="1" applyBorder="1"/>
    <xf numFmtId="0" fontId="0" fillId="7" borderId="0" xfId="0" applyFont="1" applyFill="1" applyAlignment="1"/>
    <xf numFmtId="0" fontId="0" fillId="3" borderId="0" xfId="0" applyFont="1" applyFill="1" applyAlignment="1">
      <alignment wrapText="1"/>
    </xf>
    <xf numFmtId="0" fontId="28" fillId="3" borderId="9" xfId="0" applyFont="1" applyFill="1" applyBorder="1" applyAlignment="1">
      <alignment wrapText="1"/>
    </xf>
    <xf numFmtId="168" fontId="28" fillId="3" borderId="8" xfId="3" applyNumberFormat="1" applyFont="1" applyFill="1" applyBorder="1" applyAlignment="1">
      <alignment wrapText="1"/>
    </xf>
    <xf numFmtId="0" fontId="28" fillId="3" borderId="10" xfId="0" applyFont="1" applyFill="1" applyBorder="1" applyAlignment="1">
      <alignment wrapText="1"/>
    </xf>
    <xf numFmtId="168" fontId="28" fillId="3" borderId="9" xfId="3" applyNumberFormat="1" applyFont="1" applyFill="1" applyBorder="1" applyAlignment="1">
      <alignment wrapText="1"/>
    </xf>
    <xf numFmtId="0" fontId="8" fillId="3" borderId="9" xfId="0" applyFont="1" applyFill="1" applyBorder="1" applyAlignment="1">
      <alignment wrapText="1"/>
    </xf>
    <xf numFmtId="168" fontId="0" fillId="3" borderId="9" xfId="3" applyNumberFormat="1" applyFont="1" applyFill="1" applyBorder="1" applyAlignment="1">
      <alignment wrapText="1"/>
    </xf>
    <xf numFmtId="0" fontId="28" fillId="3" borderId="0" xfId="0" applyFont="1" applyFill="1"/>
    <xf numFmtId="168" fontId="28" fillId="3" borderId="6" xfId="3" applyNumberFormat="1" applyFont="1" applyFill="1" applyBorder="1"/>
    <xf numFmtId="0" fontId="28" fillId="3" borderId="7" xfId="0" applyFont="1" applyFill="1" applyBorder="1"/>
    <xf numFmtId="0" fontId="28" fillId="3" borderId="0" xfId="0" applyFont="1" applyFill="1" applyBorder="1"/>
    <xf numFmtId="168" fontId="28" fillId="3" borderId="0" xfId="3" applyNumberFormat="1" applyFont="1" applyFill="1" applyBorder="1"/>
    <xf numFmtId="168" fontId="0" fillId="3" borderId="0" xfId="3" applyNumberFormat="1" applyFont="1" applyFill="1" applyBorder="1"/>
    <xf numFmtId="181" fontId="0" fillId="3" borderId="7" xfId="0" applyNumberFormat="1" applyFont="1" applyFill="1" applyBorder="1"/>
    <xf numFmtId="168" fontId="0" fillId="3" borderId="6" xfId="3" applyNumberFormat="1" applyFont="1" applyFill="1" applyBorder="1" applyAlignment="1"/>
    <xf numFmtId="179" fontId="0" fillId="3" borderId="7" xfId="0" applyNumberFormat="1" applyFont="1" applyFill="1" applyBorder="1"/>
    <xf numFmtId="179" fontId="0" fillId="3" borderId="0" xfId="0" applyNumberFormat="1" applyFont="1" applyFill="1" applyBorder="1"/>
    <xf numFmtId="168" fontId="0" fillId="3" borderId="0" xfId="3" applyNumberFormat="1" applyFont="1" applyFill="1" applyBorder="1" applyAlignment="1"/>
    <xf numFmtId="168" fontId="0" fillId="3" borderId="6" xfId="3" applyNumberFormat="1" applyFont="1" applyFill="1" applyBorder="1"/>
    <xf numFmtId="0" fontId="0" fillId="3" borderId="0" xfId="0" applyFont="1" applyFill="1"/>
    <xf numFmtId="0" fontId="0" fillId="3" borderId="7" xfId="0" applyFont="1" applyFill="1" applyBorder="1"/>
    <xf numFmtId="0" fontId="0" fillId="3" borderId="0" xfId="0" applyFont="1" applyFill="1" applyBorder="1"/>
    <xf numFmtId="0" fontId="28" fillId="7" borderId="0" xfId="0" applyFont="1" applyFill="1"/>
    <xf numFmtId="168" fontId="0" fillId="7" borderId="0" xfId="0" applyNumberFormat="1" applyFont="1" applyFill="1" applyAlignment="1"/>
    <xf numFmtId="0" fontId="0" fillId="0" borderId="0" xfId="0" applyFont="1" applyAlignment="1"/>
    <xf numFmtId="0" fontId="99" fillId="0" borderId="0" xfId="0" applyFont="1"/>
    <xf numFmtId="0" fontId="20" fillId="4" borderId="11" xfId="8" applyFont="1" applyFill="1" applyBorder="1" applyAlignment="1">
      <alignment horizontal="right" vertical="center"/>
    </xf>
    <xf numFmtId="0" fontId="20" fillId="4" borderId="11" xfId="8" applyFont="1" applyFill="1" applyBorder="1" applyAlignment="1">
      <alignment horizontal="center" vertical="center"/>
    </xf>
    <xf numFmtId="0" fontId="22" fillId="0" borderId="11" xfId="8" applyFont="1" applyBorder="1" applyAlignment="1">
      <alignment horizontal="center"/>
    </xf>
    <xf numFmtId="171" fontId="22" fillId="0" borderId="11" xfId="8" applyNumberFormat="1" applyFont="1" applyBorder="1" applyAlignment="1">
      <alignment horizontal="center"/>
    </xf>
    <xf numFmtId="165" fontId="22" fillId="0" borderId="11" xfId="8" applyNumberFormat="1" applyFont="1" applyBorder="1" applyAlignment="1">
      <alignment horizontal="center"/>
    </xf>
    <xf numFmtId="0" fontId="22" fillId="0" borderId="11" xfId="8" applyFont="1" applyBorder="1" applyAlignment="1">
      <alignment horizontal="right" vertical="center"/>
    </xf>
    <xf numFmtId="166" fontId="21" fillId="0" borderId="0" xfId="2" applyNumberFormat="1" applyFont="1"/>
    <xf numFmtId="168" fontId="0" fillId="0" borderId="9" xfId="3" applyNumberFormat="1" applyFont="1" applyBorder="1" applyAlignment="1"/>
    <xf numFmtId="0" fontId="0" fillId="0" borderId="9" xfId="0" applyFont="1" applyBorder="1" applyAlignment="1"/>
    <xf numFmtId="0" fontId="0" fillId="0" borderId="0" xfId="0" applyFont="1" applyAlignment="1"/>
    <xf numFmtId="0" fontId="0" fillId="0" borderId="0" xfId="0" applyFont="1" applyAlignment="1"/>
    <xf numFmtId="0" fontId="8" fillId="3" borderId="0" xfId="0" applyFont="1" applyFill="1"/>
    <xf numFmtId="0" fontId="34" fillId="3" borderId="0" xfId="0" applyFont="1" applyFill="1" applyAlignment="1"/>
    <xf numFmtId="0" fontId="12" fillId="3" borderId="0" xfId="1" applyFill="1"/>
    <xf numFmtId="0" fontId="12" fillId="3" borderId="0" xfId="1" applyFont="1" applyFill="1" applyAlignment="1"/>
    <xf numFmtId="0" fontId="13" fillId="3" borderId="0" xfId="0" applyFont="1" applyFill="1"/>
    <xf numFmtId="10" fontId="13" fillId="3" borderId="0" xfId="0" applyNumberFormat="1" applyFont="1" applyFill="1" applyAlignment="1">
      <alignment wrapText="1"/>
    </xf>
    <xf numFmtId="0" fontId="35" fillId="3" borderId="0" xfId="0" applyFont="1" applyFill="1"/>
    <xf numFmtId="10" fontId="0" fillId="3" borderId="0" xfId="4" applyNumberFormat="1" applyFont="1" applyFill="1"/>
    <xf numFmtId="169" fontId="8" fillId="3" borderId="0" xfId="4" applyNumberFormat="1" applyFont="1" applyFill="1"/>
    <xf numFmtId="10" fontId="8" fillId="3" borderId="0" xfId="4" applyNumberFormat="1" applyFont="1" applyFill="1"/>
    <xf numFmtId="0" fontId="34" fillId="3" borderId="0" xfId="0" applyFont="1" applyFill="1"/>
    <xf numFmtId="15" fontId="0" fillId="3" borderId="0" xfId="0" applyNumberFormat="1" applyFill="1"/>
    <xf numFmtId="0" fontId="34" fillId="3" borderId="0" xfId="0" applyFont="1" applyFill="1" applyAlignment="1">
      <alignment vertical="top"/>
    </xf>
    <xf numFmtId="10" fontId="0" fillId="0" borderId="0" xfId="4" applyNumberFormat="1" applyFont="1" applyAlignment="1"/>
    <xf numFmtId="0" fontId="22" fillId="0" borderId="0" xfId="8" applyFont="1" applyBorder="1" applyAlignment="1">
      <alignment horizontal="right"/>
    </xf>
    <xf numFmtId="10" fontId="22" fillId="0" borderId="0" xfId="4" applyNumberFormat="1" applyFont="1" applyFill="1" applyBorder="1" applyAlignment="1">
      <alignment horizontal="center"/>
    </xf>
    <xf numFmtId="0" fontId="0" fillId="0" borderId="0" xfId="0" applyFont="1" applyAlignment="1"/>
    <xf numFmtId="0" fontId="100" fillId="0" borderId="0" xfId="0" applyFont="1" applyAlignment="1"/>
    <xf numFmtId="186" fontId="15" fillId="0" borderId="0" xfId="0" applyNumberFormat="1" applyFont="1" applyFill="1" applyAlignment="1" applyProtection="1">
      <protection locked="0"/>
    </xf>
    <xf numFmtId="164" fontId="34" fillId="0" borderId="0" xfId="0" applyNumberFormat="1" applyFont="1"/>
    <xf numFmtId="0" fontId="34" fillId="0" borderId="0" xfId="0" applyFont="1" applyAlignment="1"/>
    <xf numFmtId="165" fontId="27" fillId="0" borderId="0" xfId="0" applyNumberFormat="1" applyFont="1" applyAlignment="1"/>
    <xf numFmtId="0" fontId="101" fillId="0" borderId="0" xfId="0" applyFont="1" applyAlignment="1"/>
    <xf numFmtId="0" fontId="8" fillId="0" borderId="0" xfId="0" applyFont="1" applyAlignment="1">
      <alignment vertical="top"/>
    </xf>
    <xf numFmtId="0" fontId="0" fillId="0" borderId="0" xfId="0" applyFont="1" applyAlignment="1"/>
    <xf numFmtId="168" fontId="12" fillId="0" borderId="0" xfId="1" applyNumberFormat="1" applyAlignment="1"/>
    <xf numFmtId="168" fontId="8" fillId="0" borderId="0" xfId="0" applyNumberFormat="1" applyFont="1" applyAlignment="1"/>
    <xf numFmtId="44" fontId="0" fillId="0" borderId="0" xfId="3" applyNumberFormat="1" applyFont="1" applyAlignment="1"/>
    <xf numFmtId="0" fontId="0" fillId="0" borderId="0" xfId="0" applyFont="1" applyAlignment="1"/>
    <xf numFmtId="0" fontId="0" fillId="0" borderId="0" xfId="0" applyFont="1" applyAlignment="1"/>
    <xf numFmtId="0" fontId="8" fillId="0" borderId="0" xfId="0" applyFont="1" applyAlignment="1">
      <alignment wrapText="1"/>
    </xf>
    <xf numFmtId="3" fontId="15" fillId="10" borderId="0" xfId="5" applyNumberFormat="1" applyFont="1" applyFill="1" applyBorder="1" applyAlignment="1"/>
    <xf numFmtId="0" fontId="0" fillId="0" borderId="0" xfId="0" applyFont="1" applyAlignment="1"/>
    <xf numFmtId="169" fontId="8" fillId="7" borderId="0" xfId="0" applyNumberFormat="1" applyFont="1" applyFill="1" applyAlignment="1"/>
    <xf numFmtId="9" fontId="0" fillId="0" borderId="0" xfId="0" applyNumberFormat="1" applyFont="1" applyAlignment="1"/>
    <xf numFmtId="0" fontId="0" fillId="0" borderId="0" xfId="0" applyFont="1" applyAlignment="1"/>
    <xf numFmtId="0" fontId="28" fillId="0" borderId="0" xfId="0" applyFont="1" applyFill="1"/>
    <xf numFmtId="169" fontId="0" fillId="0" borderId="0" xfId="0" applyNumberFormat="1" applyFont="1" applyFill="1" applyAlignment="1"/>
    <xf numFmtId="0" fontId="8" fillId="3" borderId="0" xfId="0" applyFont="1" applyFill="1" applyAlignment="1"/>
    <xf numFmtId="0" fontId="90" fillId="3" borderId="0" xfId="0" applyFont="1" applyFill="1" applyAlignment="1"/>
    <xf numFmtId="0" fontId="12" fillId="3" borderId="0" xfId="1" applyFill="1" applyAlignment="1"/>
    <xf numFmtId="0" fontId="38"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horizontal="left"/>
    </xf>
    <xf numFmtId="0" fontId="40" fillId="3" borderId="0" xfId="0" applyFont="1" applyFill="1" applyBorder="1" applyAlignment="1">
      <alignment horizontal="left"/>
    </xf>
    <xf numFmtId="0" fontId="41" fillId="3" borderId="0" xfId="0" applyFont="1" applyFill="1" applyAlignment="1">
      <alignment horizontal="left"/>
    </xf>
    <xf numFmtId="0" fontId="41" fillId="3" borderId="7" xfId="0" applyFont="1" applyFill="1" applyBorder="1" applyAlignment="1">
      <alignment horizontal="center"/>
    </xf>
    <xf numFmtId="0" fontId="42" fillId="3" borderId="0" xfId="0" applyFont="1" applyFill="1" applyAlignment="1">
      <alignment horizontal="left"/>
    </xf>
    <xf numFmtId="0" fontId="42" fillId="3" borderId="7" xfId="0" applyFont="1" applyFill="1" applyBorder="1" applyAlignment="1">
      <alignment horizontal="left"/>
    </xf>
    <xf numFmtId="2" fontId="42" fillId="3" borderId="0" xfId="0" applyNumberFormat="1" applyFont="1" applyFill="1" applyAlignment="1">
      <alignment horizontal="left" shrinkToFit="1"/>
    </xf>
    <xf numFmtId="0" fontId="42" fillId="3" borderId="7" xfId="0" applyFont="1" applyFill="1" applyBorder="1" applyAlignment="1">
      <alignment horizontal="center" vertical="top"/>
    </xf>
    <xf numFmtId="178" fontId="42" fillId="3" borderId="0" xfId="0" applyNumberFormat="1" applyFont="1" applyFill="1" applyAlignment="1">
      <alignment horizontal="center"/>
    </xf>
    <xf numFmtId="0" fontId="43" fillId="3" borderId="0" xfId="0" applyFont="1" applyFill="1" applyAlignment="1">
      <alignment horizontal="center"/>
    </xf>
    <xf numFmtId="0" fontId="43" fillId="3" borderId="15" xfId="0" applyFont="1" applyFill="1" applyBorder="1" applyAlignment="1">
      <alignment horizontal="left"/>
    </xf>
    <xf numFmtId="0" fontId="44" fillId="3" borderId="0" xfId="0" applyFont="1" applyFill="1" applyAlignment="1">
      <alignment horizontal="left"/>
    </xf>
    <xf numFmtId="0" fontId="44" fillId="3" borderId="7" xfId="0" applyFont="1" applyFill="1" applyBorder="1" applyAlignment="1">
      <alignment horizontal="left"/>
    </xf>
    <xf numFmtId="0" fontId="42" fillId="3" borderId="7" xfId="0" applyFont="1" applyFill="1" applyBorder="1" applyAlignment="1">
      <alignment horizontal="center"/>
    </xf>
    <xf numFmtId="0" fontId="42" fillId="3" borderId="0" xfId="4" applyNumberFormat="1" applyFont="1" applyFill="1" applyAlignment="1">
      <alignment horizontal="left"/>
    </xf>
    <xf numFmtId="0" fontId="41" fillId="3" borderId="0" xfId="0" applyFont="1" applyFill="1" applyAlignment="1">
      <alignment horizontal="center"/>
    </xf>
    <xf numFmtId="0" fontId="41" fillId="3" borderId="0" xfId="0" applyFont="1" applyFill="1"/>
    <xf numFmtId="0" fontId="39" fillId="3" borderId="0" xfId="0" applyFont="1" applyFill="1" applyBorder="1" applyAlignment="1">
      <alignment horizontal="center"/>
    </xf>
    <xf numFmtId="0" fontId="39" fillId="3" borderId="0" xfId="0" applyFont="1" applyFill="1" applyBorder="1" applyAlignment="1">
      <alignment horizontal="left" wrapText="1"/>
    </xf>
    <xf numFmtId="0" fontId="39" fillId="3" borderId="0" xfId="0" applyFont="1" applyFill="1" applyAlignment="1">
      <alignment horizontal="left"/>
    </xf>
    <xf numFmtId="0" fontId="45" fillId="3" borderId="0" xfId="0" applyFont="1" applyFill="1" applyBorder="1" applyAlignment="1">
      <alignment horizontal="right"/>
    </xf>
    <xf numFmtId="0" fontId="45" fillId="3" borderId="0" xfId="0" applyFont="1" applyFill="1" applyBorder="1" applyAlignment="1">
      <alignment horizontal="left"/>
    </xf>
    <xf numFmtId="0" fontId="46" fillId="3" borderId="0" xfId="0" applyFont="1" applyFill="1" applyAlignment="1">
      <alignment horizontal="center"/>
    </xf>
    <xf numFmtId="0" fontId="47" fillId="3" borderId="0" xfId="0" applyFont="1" applyFill="1" applyAlignment="1">
      <alignment horizontal="center"/>
    </xf>
    <xf numFmtId="0" fontId="41" fillId="3" borderId="0" xfId="0" applyFont="1" applyFill="1" applyAlignment="1"/>
    <xf numFmtId="1" fontId="41" fillId="3" borderId="0" xfId="0" applyNumberFormat="1" applyFont="1" applyFill="1" applyAlignment="1">
      <alignment wrapText="1"/>
    </xf>
    <xf numFmtId="0" fontId="48" fillId="3" borderId="13" xfId="0" applyFont="1" applyFill="1" applyBorder="1" applyAlignment="1">
      <alignment wrapText="1"/>
    </xf>
    <xf numFmtId="0" fontId="49" fillId="3" borderId="0" xfId="0" applyFont="1" applyFill="1"/>
    <xf numFmtId="0" fontId="45" fillId="3" borderId="0" xfId="0" applyFont="1" applyFill="1" applyAlignment="1">
      <alignment horizontal="right"/>
    </xf>
    <xf numFmtId="0" fontId="50" fillId="3" borderId="0" xfId="0" applyFont="1" applyFill="1" applyBorder="1" applyAlignment="1">
      <alignment horizontal="left"/>
    </xf>
    <xf numFmtId="0" fontId="48" fillId="3" borderId="0" xfId="0" applyFont="1" applyFill="1" applyBorder="1" applyAlignment="1">
      <alignment horizontal="center"/>
    </xf>
    <xf numFmtId="0" fontId="48" fillId="3" borderId="0" xfId="0" applyFont="1" applyFill="1" applyBorder="1" applyAlignment="1">
      <alignment horizontal="left" wrapText="1"/>
    </xf>
    <xf numFmtId="0" fontId="48" fillId="3" borderId="0" xfId="0" applyFont="1" applyFill="1" applyAlignment="1">
      <alignment horizontal="left"/>
    </xf>
    <xf numFmtId="0" fontId="51" fillId="3" borderId="0" xfId="0" applyFont="1" applyFill="1" applyAlignment="1">
      <alignment horizontal="center"/>
    </xf>
    <xf numFmtId="0" fontId="52" fillId="3" borderId="0" xfId="0" applyFont="1" applyFill="1" applyAlignment="1">
      <alignment horizontal="center"/>
    </xf>
    <xf numFmtId="2" fontId="52" fillId="3" borderId="0" xfId="0" applyNumberFormat="1" applyFont="1" applyFill="1" applyAlignment="1">
      <alignment horizontal="left" shrinkToFit="1"/>
    </xf>
    <xf numFmtId="0" fontId="53" fillId="3" borderId="0" xfId="0" applyFont="1" applyFill="1" applyAlignment="1">
      <alignment horizontal="left" vertical="top"/>
    </xf>
    <xf numFmtId="0" fontId="52" fillId="3" borderId="0" xfId="0" applyFont="1" applyFill="1" applyBorder="1" applyAlignment="1">
      <alignment horizontal="left"/>
    </xf>
    <xf numFmtId="0" fontId="52" fillId="3" borderId="0" xfId="0" applyFont="1" applyFill="1" applyBorder="1" applyAlignment="1">
      <alignment horizontal="center"/>
    </xf>
    <xf numFmtId="0" fontId="49" fillId="3" borderId="13" xfId="0" applyFont="1" applyFill="1" applyBorder="1"/>
    <xf numFmtId="0" fontId="45" fillId="3" borderId="13" xfId="0" applyFont="1" applyFill="1" applyBorder="1" applyAlignment="1">
      <alignment horizontal="center"/>
    </xf>
    <xf numFmtId="0" fontId="0" fillId="3" borderId="13" xfId="0" applyFill="1" applyBorder="1"/>
    <xf numFmtId="0" fontId="51" fillId="3" borderId="13" xfId="0" applyFont="1" applyFill="1" applyBorder="1" applyAlignment="1">
      <alignment horizontal="center"/>
    </xf>
    <xf numFmtId="0" fontId="41" fillId="3" borderId="0" xfId="0" applyFont="1" applyFill="1" applyBorder="1" applyAlignment="1">
      <alignment horizontal="left"/>
    </xf>
    <xf numFmtId="0" fontId="0" fillId="3" borderId="0" xfId="0" applyFill="1" applyBorder="1"/>
    <xf numFmtId="2" fontId="42" fillId="3" borderId="0" xfId="0" applyNumberFormat="1" applyFont="1" applyFill="1" applyBorder="1" applyAlignment="1">
      <alignment horizontal="left" shrinkToFit="1"/>
    </xf>
    <xf numFmtId="0" fontId="42" fillId="3" borderId="0" xfId="0" applyFont="1" applyFill="1" applyBorder="1" applyAlignment="1">
      <alignment horizontal="center" vertical="top"/>
    </xf>
    <xf numFmtId="178" fontId="42" fillId="3" borderId="0" xfId="0" applyNumberFormat="1" applyFont="1" applyFill="1" applyBorder="1" applyAlignment="1">
      <alignment horizontal="center"/>
    </xf>
    <xf numFmtId="0" fontId="43" fillId="3" borderId="0" xfId="0" applyFont="1" applyFill="1" applyBorder="1" applyAlignment="1">
      <alignment horizontal="center"/>
    </xf>
    <xf numFmtId="0" fontId="43" fillId="3" borderId="0" xfId="0" applyFont="1" applyFill="1" applyBorder="1" applyAlignment="1">
      <alignment horizontal="left"/>
    </xf>
    <xf numFmtId="0" fontId="44" fillId="3" borderId="0" xfId="0" applyFont="1" applyFill="1" applyBorder="1" applyAlignment="1">
      <alignment horizontal="left"/>
    </xf>
    <xf numFmtId="0" fontId="42" fillId="3" borderId="0" xfId="4" applyNumberFormat="1" applyFont="1" applyFill="1" applyBorder="1" applyAlignment="1">
      <alignment horizontal="left"/>
    </xf>
    <xf numFmtId="2" fontId="42" fillId="3" borderId="0" xfId="0" applyNumberFormat="1" applyFont="1" applyFill="1" applyBorder="1" applyAlignment="1">
      <alignment horizontal="left"/>
    </xf>
    <xf numFmtId="0" fontId="54" fillId="11" borderId="0" xfId="0" applyFont="1" applyFill="1"/>
    <xf numFmtId="1" fontId="42" fillId="3" borderId="0" xfId="0" applyNumberFormat="1" applyFont="1" applyFill="1" applyBorder="1" applyAlignment="1">
      <alignment horizontal="center" wrapText="1"/>
    </xf>
    <xf numFmtId="0" fontId="42" fillId="3" borderId="0" xfId="0" applyFont="1" applyFill="1" applyBorder="1" applyAlignment="1">
      <alignment horizontal="center" vertical="top" wrapText="1"/>
    </xf>
    <xf numFmtId="9" fontId="42" fillId="3" borderId="0" xfId="4" applyFont="1" applyFill="1" applyBorder="1" applyAlignment="1">
      <alignment horizontal="left"/>
    </xf>
    <xf numFmtId="0" fontId="42" fillId="3" borderId="0" xfId="0" applyFont="1" applyFill="1" applyBorder="1" applyAlignment="1">
      <alignment horizontal="center" wrapText="1"/>
    </xf>
    <xf numFmtId="2" fontId="42" fillId="3" borderId="0" xfId="0" applyNumberFormat="1" applyFont="1" applyFill="1" applyBorder="1" applyAlignment="1">
      <alignment horizontal="center"/>
    </xf>
    <xf numFmtId="0" fontId="54" fillId="3" borderId="0" xfId="0" applyFont="1" applyFill="1"/>
    <xf numFmtId="0" fontId="55" fillId="3" borderId="0" xfId="0" applyFont="1" applyFill="1" applyBorder="1" applyAlignment="1">
      <alignment horizontal="left"/>
    </xf>
    <xf numFmtId="0" fontId="55" fillId="3" borderId="0" xfId="0" applyFont="1" applyFill="1" applyBorder="1" applyAlignment="1">
      <alignment horizontal="center"/>
    </xf>
    <xf numFmtId="0" fontId="38" fillId="3" borderId="16" xfId="0" applyFont="1" applyFill="1" applyBorder="1" applyAlignment="1">
      <alignment horizontal="center"/>
    </xf>
    <xf numFmtId="0" fontId="0" fillId="3" borderId="16" xfId="0" applyFont="1" applyFill="1" applyBorder="1" applyAlignment="1">
      <alignment horizontal="center"/>
    </xf>
    <xf numFmtId="0" fontId="45" fillId="3" borderId="16" xfId="0" applyFont="1" applyFill="1" applyBorder="1" applyAlignment="1">
      <alignment horizontal="left"/>
    </xf>
    <xf numFmtId="0" fontId="39" fillId="3" borderId="16" xfId="0" applyNumberFormat="1" applyFont="1" applyFill="1" applyBorder="1" applyAlignment="1">
      <alignment horizontal="center"/>
    </xf>
    <xf numFmtId="0" fontId="40" fillId="3" borderId="16" xfId="0" applyFont="1" applyFill="1" applyBorder="1" applyAlignment="1">
      <alignment horizontal="left"/>
    </xf>
    <xf numFmtId="0" fontId="41" fillId="3" borderId="16" xfId="0" applyFont="1" applyFill="1" applyBorder="1" applyAlignment="1">
      <alignment horizontal="center"/>
    </xf>
    <xf numFmtId="0" fontId="41" fillId="3" borderId="16" xfId="0" applyFont="1" applyFill="1" applyBorder="1" applyAlignment="1">
      <alignment horizontal="left"/>
    </xf>
    <xf numFmtId="0" fontId="42" fillId="3" borderId="16" xfId="0" applyFont="1" applyFill="1" applyBorder="1" applyAlignment="1">
      <alignment horizontal="center" vertical="center"/>
    </xf>
    <xf numFmtId="0" fontId="0" fillId="3" borderId="16" xfId="0" applyFill="1" applyBorder="1"/>
    <xf numFmtId="2" fontId="42" fillId="3" borderId="16" xfId="0" applyNumberFormat="1" applyFont="1" applyFill="1" applyBorder="1" applyAlignment="1">
      <alignment horizontal="center" shrinkToFit="1"/>
    </xf>
    <xf numFmtId="0" fontId="42" fillId="3" borderId="16" xfId="0" applyFont="1" applyFill="1" applyBorder="1" applyAlignment="1">
      <alignment vertical="top"/>
    </xf>
    <xf numFmtId="2" fontId="42" fillId="3" borderId="16" xfId="0" applyNumberFormat="1" applyFont="1" applyFill="1" applyBorder="1" applyAlignment="1">
      <alignment horizontal="center"/>
    </xf>
    <xf numFmtId="0" fontId="42" fillId="3" borderId="16" xfId="0" applyFont="1" applyFill="1" applyBorder="1" applyAlignment="1">
      <alignment horizontal="left" vertical="top"/>
    </xf>
    <xf numFmtId="178" fontId="42" fillId="3" borderId="16" xfId="0" applyNumberFormat="1" applyFont="1" applyFill="1" applyBorder="1" applyAlignment="1">
      <alignment horizontal="center"/>
    </xf>
    <xf numFmtId="2" fontId="53" fillId="3" borderId="16" xfId="0" applyNumberFormat="1" applyFont="1" applyFill="1" applyBorder="1" applyAlignment="1">
      <alignment horizontal="center"/>
    </xf>
    <xf numFmtId="0" fontId="43" fillId="3" borderId="16" xfId="0" applyFont="1" applyFill="1" applyBorder="1" applyAlignment="1">
      <alignment horizontal="left"/>
    </xf>
    <xf numFmtId="0" fontId="44" fillId="3" borderId="16" xfId="0" applyFont="1" applyFill="1" applyBorder="1" applyAlignment="1">
      <alignment horizontal="center"/>
    </xf>
    <xf numFmtId="0" fontId="44" fillId="3" borderId="16" xfId="0" applyFont="1" applyFill="1" applyBorder="1" applyAlignment="1">
      <alignment horizontal="left"/>
    </xf>
    <xf numFmtId="0" fontId="42" fillId="3" borderId="16" xfId="0" applyFont="1" applyFill="1" applyBorder="1" applyAlignment="1">
      <alignment horizontal="center"/>
    </xf>
    <xf numFmtId="0" fontId="42" fillId="3" borderId="16" xfId="4" applyNumberFormat="1" applyFont="1" applyFill="1" applyBorder="1" applyAlignment="1">
      <alignment horizontal="center"/>
    </xf>
    <xf numFmtId="0" fontId="41" fillId="3" borderId="16" xfId="0" applyFont="1" applyFill="1" applyBorder="1" applyAlignment="1">
      <alignment vertical="top"/>
    </xf>
    <xf numFmtId="0" fontId="44" fillId="3" borderId="16" xfId="0" applyNumberFormat="1" applyFont="1" applyFill="1" applyBorder="1" applyAlignment="1">
      <alignment horizontal="center"/>
    </xf>
    <xf numFmtId="1" fontId="42" fillId="3" borderId="16" xfId="0" applyNumberFormat="1" applyFont="1" applyFill="1" applyBorder="1" applyAlignment="1">
      <alignment horizontal="center" wrapText="1"/>
    </xf>
    <xf numFmtId="0" fontId="42" fillId="3" borderId="16" xfId="0" applyNumberFormat="1" applyFont="1" applyFill="1" applyBorder="1" applyAlignment="1">
      <alignment horizontal="center" wrapText="1"/>
    </xf>
    <xf numFmtId="0" fontId="56" fillId="3" borderId="16" xfId="1" applyFont="1" applyFill="1" applyBorder="1" applyAlignment="1">
      <alignment vertical="center"/>
    </xf>
    <xf numFmtId="10" fontId="42" fillId="3" borderId="16" xfId="4" applyNumberFormat="1" applyFont="1" applyFill="1" applyBorder="1" applyAlignment="1">
      <alignment horizontal="center" wrapText="1"/>
    </xf>
    <xf numFmtId="0" fontId="42" fillId="3" borderId="16" xfId="0" applyFont="1" applyFill="1" applyBorder="1" applyAlignment="1">
      <alignment horizontal="center" wrapText="1"/>
    </xf>
    <xf numFmtId="0" fontId="42" fillId="3" borderId="16" xfId="0" applyNumberFormat="1" applyFont="1" applyFill="1" applyBorder="1" applyAlignment="1">
      <alignment horizontal="center"/>
    </xf>
    <xf numFmtId="167" fontId="41" fillId="3" borderId="16" xfId="0" applyNumberFormat="1" applyFont="1" applyFill="1" applyBorder="1" applyAlignment="1">
      <alignment horizontal="center"/>
    </xf>
    <xf numFmtId="1" fontId="42" fillId="3" borderId="16" xfId="0" applyNumberFormat="1" applyFont="1" applyFill="1" applyBorder="1" applyAlignment="1">
      <alignment horizontal="center"/>
    </xf>
    <xf numFmtId="1" fontId="42" fillId="3" borderId="16" xfId="0" applyNumberFormat="1" applyFont="1" applyFill="1" applyBorder="1" applyAlignment="1">
      <alignment horizontal="left"/>
    </xf>
    <xf numFmtId="179" fontId="41" fillId="3" borderId="16" xfId="0" applyNumberFormat="1" applyFont="1" applyFill="1" applyBorder="1" applyAlignment="1">
      <alignment horizontal="center"/>
    </xf>
    <xf numFmtId="0" fontId="42" fillId="3" borderId="16" xfId="0" applyFont="1" applyFill="1" applyBorder="1" applyAlignment="1">
      <alignment horizontal="center" vertical="top"/>
    </xf>
    <xf numFmtId="0" fontId="58" fillId="3" borderId="16" xfId="0" applyFont="1" applyFill="1" applyBorder="1" applyAlignment="1">
      <alignment horizontal="left"/>
    </xf>
    <xf numFmtId="0" fontId="62" fillId="3" borderId="0" xfId="0" applyFont="1" applyFill="1" applyBorder="1" applyAlignment="1">
      <alignment horizontal="center"/>
    </xf>
    <xf numFmtId="0" fontId="39" fillId="3" borderId="0" xfId="0" applyNumberFormat="1" applyFont="1" applyFill="1" applyBorder="1" applyAlignment="1">
      <alignment horizontal="center"/>
    </xf>
    <xf numFmtId="0" fontId="42" fillId="3" borderId="0" xfId="0" applyFont="1" applyFill="1" applyBorder="1" applyAlignment="1">
      <alignment horizontal="center" vertical="center"/>
    </xf>
    <xf numFmtId="2" fontId="42" fillId="3" borderId="0" xfId="0" applyNumberFormat="1" applyFont="1" applyFill="1" applyBorder="1" applyAlignment="1">
      <alignment horizontal="center" vertical="top" shrinkToFit="1"/>
    </xf>
    <xf numFmtId="0" fontId="42" fillId="3" borderId="0" xfId="0" applyFont="1" applyFill="1" applyBorder="1" applyAlignment="1">
      <alignment horizontal="left" vertical="top"/>
    </xf>
    <xf numFmtId="2" fontId="43" fillId="3" borderId="0" xfId="0" applyNumberFormat="1" applyFont="1" applyFill="1" applyBorder="1" applyAlignment="1">
      <alignment horizontal="center"/>
    </xf>
    <xf numFmtId="0" fontId="44" fillId="3" borderId="0" xfId="0" applyFont="1" applyFill="1" applyBorder="1" applyAlignment="1">
      <alignment horizontal="center"/>
    </xf>
    <xf numFmtId="0" fontId="42" fillId="3" borderId="0" xfId="4" applyNumberFormat="1" applyFont="1" applyFill="1" applyBorder="1" applyAlignment="1">
      <alignment horizontal="center"/>
    </xf>
    <xf numFmtId="0" fontId="41" fillId="3" borderId="0" xfId="0" applyFont="1" applyFill="1" applyBorder="1" applyAlignment="1">
      <alignment vertical="top"/>
    </xf>
    <xf numFmtId="0" fontId="42" fillId="3" borderId="0" xfId="0" applyNumberFormat="1" applyFont="1" applyFill="1" applyBorder="1" applyAlignment="1">
      <alignment horizontal="center"/>
    </xf>
    <xf numFmtId="0" fontId="42" fillId="3" borderId="0" xfId="0" applyNumberFormat="1" applyFont="1" applyFill="1" applyBorder="1" applyAlignment="1">
      <alignment horizontal="center" wrapText="1"/>
    </xf>
    <xf numFmtId="10" fontId="42" fillId="3" borderId="0" xfId="4" applyNumberFormat="1" applyFont="1" applyFill="1" applyBorder="1" applyAlignment="1">
      <alignment horizontal="center"/>
    </xf>
    <xf numFmtId="1" fontId="42" fillId="3" borderId="0" xfId="0" applyNumberFormat="1" applyFont="1" applyFill="1" applyBorder="1" applyAlignment="1">
      <alignment horizontal="center"/>
    </xf>
    <xf numFmtId="1" fontId="42" fillId="3" borderId="0" xfId="0" applyNumberFormat="1" applyFont="1" applyFill="1" applyBorder="1" applyAlignment="1">
      <alignment horizontal="left"/>
    </xf>
    <xf numFmtId="179" fontId="41" fillId="3" borderId="0" xfId="0" applyNumberFormat="1" applyFont="1" applyFill="1" applyBorder="1" applyAlignment="1">
      <alignment horizontal="center"/>
    </xf>
    <xf numFmtId="2" fontId="42" fillId="3" borderId="16" xfId="0" applyNumberFormat="1" applyFont="1" applyFill="1" applyBorder="1" applyAlignment="1">
      <alignment horizontal="center" vertical="top" shrinkToFit="1"/>
    </xf>
    <xf numFmtId="0" fontId="41" fillId="3" borderId="16" xfId="0" applyFont="1" applyFill="1" applyBorder="1" applyAlignment="1"/>
    <xf numFmtId="0" fontId="40" fillId="3" borderId="0" xfId="0" applyFont="1" applyFill="1" applyBorder="1" applyAlignment="1">
      <alignment horizontal="center"/>
    </xf>
    <xf numFmtId="0" fontId="44" fillId="3" borderId="0" xfId="0" applyFont="1" applyFill="1" applyBorder="1" applyAlignment="1">
      <alignment horizontal="center" vertical="top"/>
    </xf>
    <xf numFmtId="0" fontId="42" fillId="3" borderId="0" xfId="0" applyNumberFormat="1" applyFont="1" applyFill="1" applyBorder="1" applyAlignment="1">
      <alignment horizontal="center" vertical="top"/>
    </xf>
    <xf numFmtId="0" fontId="42" fillId="3" borderId="0" xfId="0" applyNumberFormat="1" applyFont="1" applyFill="1" applyBorder="1" applyAlignment="1">
      <alignment horizontal="center" vertical="top" wrapText="1"/>
    </xf>
    <xf numFmtId="0" fontId="42" fillId="3" borderId="0" xfId="0" applyFont="1" applyFill="1" applyBorder="1" applyAlignment="1"/>
    <xf numFmtId="2" fontId="42" fillId="3" borderId="0" xfId="0" applyNumberFormat="1" applyFont="1" applyFill="1" applyBorder="1" applyAlignment="1">
      <alignment horizontal="center" vertical="top"/>
    </xf>
    <xf numFmtId="0" fontId="40" fillId="3" borderId="0" xfId="0" applyFont="1" applyFill="1" applyBorder="1"/>
    <xf numFmtId="0" fontId="42" fillId="3" borderId="0" xfId="0" applyFont="1" applyFill="1" applyBorder="1"/>
    <xf numFmtId="0" fontId="0" fillId="3" borderId="16" xfId="0" applyFont="1" applyFill="1" applyBorder="1"/>
    <xf numFmtId="0" fontId="45" fillId="3" borderId="16" xfId="0" applyFont="1" applyFill="1" applyBorder="1"/>
    <xf numFmtId="0" fontId="40" fillId="3" borderId="16" xfId="0" applyFont="1" applyFill="1" applyBorder="1"/>
    <xf numFmtId="0" fontId="42" fillId="3" borderId="16" xfId="0" applyFont="1" applyFill="1" applyBorder="1" applyAlignment="1"/>
    <xf numFmtId="0" fontId="42" fillId="3" borderId="16" xfId="0" applyFont="1" applyFill="1" applyBorder="1"/>
    <xf numFmtId="0" fontId="57" fillId="3" borderId="0" xfId="0" applyFont="1" applyFill="1" applyBorder="1" applyAlignment="1">
      <alignment horizontal="left"/>
    </xf>
    <xf numFmtId="0" fontId="57" fillId="3" borderId="0" xfId="0" applyFont="1" applyFill="1" applyBorder="1" applyAlignment="1">
      <alignment horizontal="left" vertical="top"/>
    </xf>
    <xf numFmtId="179" fontId="42" fillId="3" borderId="0" xfId="0" applyNumberFormat="1" applyFont="1" applyFill="1" applyBorder="1" applyAlignment="1">
      <alignment horizontal="center"/>
    </xf>
    <xf numFmtId="0" fontId="0" fillId="3" borderId="0" xfId="0" applyFont="1" applyFill="1" applyBorder="1" applyAlignment="1">
      <alignment horizontal="right"/>
    </xf>
    <xf numFmtId="178" fontId="42" fillId="3" borderId="0" xfId="0" applyNumberFormat="1" applyFont="1" applyFill="1" applyBorder="1" applyAlignment="1">
      <alignment horizontal="center" vertical="top"/>
    </xf>
    <xf numFmtId="1" fontId="42" fillId="3" borderId="0" xfId="0" applyNumberFormat="1" applyFont="1" applyFill="1" applyBorder="1" applyAlignment="1">
      <alignment horizontal="center" vertical="top" wrapText="1"/>
    </xf>
    <xf numFmtId="10" fontId="42" fillId="3" borderId="0" xfId="4" applyNumberFormat="1" applyFont="1" applyFill="1" applyBorder="1" applyAlignment="1">
      <alignment horizontal="center" vertical="top"/>
    </xf>
    <xf numFmtId="0" fontId="57" fillId="3" borderId="0" xfId="0" applyFont="1" applyFill="1" applyBorder="1" applyAlignment="1">
      <alignment horizontal="center" vertical="top" wrapText="1"/>
    </xf>
    <xf numFmtId="0" fontId="58" fillId="3" borderId="0" xfId="0" applyFont="1" applyFill="1" applyBorder="1" applyAlignment="1">
      <alignment horizontal="left"/>
    </xf>
    <xf numFmtId="0" fontId="44" fillId="3" borderId="0" xfId="0" applyFont="1" applyFill="1" applyBorder="1" applyAlignment="1">
      <alignment horizontal="left" vertical="top"/>
    </xf>
    <xf numFmtId="0" fontId="43" fillId="3" borderId="0" xfId="0" applyFont="1" applyFill="1" applyBorder="1" applyAlignment="1"/>
    <xf numFmtId="9" fontId="42" fillId="3" borderId="0" xfId="4" applyFont="1" applyFill="1" applyBorder="1" applyAlignment="1">
      <alignment horizontal="center"/>
    </xf>
    <xf numFmtId="0" fontId="40" fillId="3" borderId="16" xfId="0" applyFont="1" applyFill="1" applyBorder="1" applyAlignment="1">
      <alignment horizontal="center"/>
    </xf>
    <xf numFmtId="1" fontId="52" fillId="3" borderId="0" xfId="0" applyNumberFormat="1" applyFont="1" applyFill="1" applyBorder="1" applyAlignment="1">
      <alignment horizontal="center"/>
    </xf>
    <xf numFmtId="2" fontId="58" fillId="3" borderId="0" xfId="0" applyNumberFormat="1" applyFont="1" applyFill="1" applyBorder="1" applyAlignment="1">
      <alignment horizontal="center" vertical="top"/>
    </xf>
    <xf numFmtId="0" fontId="67" fillId="3" borderId="16" xfId="0" applyFont="1" applyFill="1" applyBorder="1" applyAlignment="1">
      <alignment horizontal="left" vertical="top"/>
    </xf>
    <xf numFmtId="1" fontId="43" fillId="3" borderId="0" xfId="0" applyNumberFormat="1" applyFont="1" applyFill="1" applyBorder="1" applyAlignment="1">
      <alignment horizontal="center"/>
    </xf>
    <xf numFmtId="0" fontId="43" fillId="3" borderId="0" xfId="0" applyFont="1" applyFill="1" applyBorder="1" applyAlignment="1">
      <alignment horizontal="left" vertical="top"/>
    </xf>
    <xf numFmtId="1" fontId="52" fillId="3" borderId="0" xfId="0" applyNumberFormat="1" applyFont="1" applyFill="1" applyBorder="1" applyAlignment="1">
      <alignment horizontal="left"/>
    </xf>
    <xf numFmtId="2" fontId="44" fillId="3" borderId="0" xfId="0" applyNumberFormat="1" applyFont="1" applyFill="1" applyBorder="1" applyAlignment="1">
      <alignment horizontal="center"/>
    </xf>
    <xf numFmtId="0" fontId="0" fillId="3" borderId="0" xfId="0" applyFill="1" applyBorder="1" applyAlignment="1"/>
    <xf numFmtId="179" fontId="42" fillId="3" borderId="0" xfId="0" applyNumberFormat="1" applyFont="1" applyFill="1" applyBorder="1" applyAlignment="1">
      <alignment horizontal="center" vertical="top"/>
    </xf>
    <xf numFmtId="0" fontId="44" fillId="3" borderId="0" xfId="0" applyNumberFormat="1" applyFont="1" applyFill="1" applyBorder="1" applyAlignment="1">
      <alignment horizontal="center"/>
    </xf>
    <xf numFmtId="0" fontId="42" fillId="3" borderId="0" xfId="0" applyFont="1" applyFill="1" applyBorder="1" applyAlignment="1">
      <alignment horizontal="left" vertical="center"/>
    </xf>
    <xf numFmtId="0" fontId="67" fillId="3" borderId="0" xfId="0" applyFont="1" applyFill="1" applyBorder="1" applyAlignment="1">
      <alignment horizontal="left" vertical="center"/>
    </xf>
    <xf numFmtId="0" fontId="42" fillId="3" borderId="0" xfId="0" quotePrefix="1" applyFont="1" applyFill="1" applyBorder="1" applyAlignment="1">
      <alignment horizontal="left"/>
    </xf>
    <xf numFmtId="179" fontId="42" fillId="3" borderId="0" xfId="4" applyNumberFormat="1" applyFont="1" applyFill="1" applyBorder="1" applyAlignment="1">
      <alignment horizontal="center"/>
    </xf>
    <xf numFmtId="0" fontId="40" fillId="3" borderId="0" xfId="0" applyFont="1" applyFill="1" applyBorder="1" applyAlignment="1"/>
    <xf numFmtId="0" fontId="67" fillId="3" borderId="0" xfId="0" applyFont="1" applyFill="1" applyBorder="1" applyAlignment="1">
      <alignment vertical="top"/>
    </xf>
    <xf numFmtId="0" fontId="44" fillId="3" borderId="0" xfId="0" applyNumberFormat="1" applyFont="1" applyFill="1" applyBorder="1" applyAlignment="1">
      <alignment horizontal="center" vertical="top"/>
    </xf>
    <xf numFmtId="0" fontId="68" fillId="3" borderId="0" xfId="0" applyFont="1" applyFill="1" applyBorder="1" applyAlignment="1">
      <alignment horizontal="left"/>
    </xf>
    <xf numFmtId="0" fontId="0" fillId="3" borderId="16" xfId="0" applyFont="1" applyFill="1" applyBorder="1" applyAlignment="1">
      <alignment horizontal="left"/>
    </xf>
    <xf numFmtId="2" fontId="43" fillId="3" borderId="16" xfId="0" applyNumberFormat="1" applyFont="1" applyFill="1" applyBorder="1" applyAlignment="1">
      <alignment horizontal="center"/>
    </xf>
    <xf numFmtId="0" fontId="43" fillId="3" borderId="16" xfId="0" applyFont="1" applyFill="1" applyBorder="1" applyAlignment="1"/>
    <xf numFmtId="179" fontId="42" fillId="3" borderId="16" xfId="4" applyNumberFormat="1" applyFont="1" applyFill="1" applyBorder="1" applyAlignment="1">
      <alignment horizontal="center"/>
    </xf>
    <xf numFmtId="179" fontId="42" fillId="3" borderId="0" xfId="0" applyNumberFormat="1" applyFont="1" applyFill="1" applyBorder="1" applyAlignment="1">
      <alignment horizontal="center" vertical="top" shrinkToFit="1"/>
    </xf>
    <xf numFmtId="0" fontId="57" fillId="3" borderId="0" xfId="0" applyFont="1" applyFill="1" applyBorder="1" applyAlignment="1">
      <alignment horizontal="center" vertical="top"/>
    </xf>
    <xf numFmtId="0" fontId="43" fillId="12" borderId="0" xfId="0" applyFont="1" applyFill="1" applyBorder="1" applyAlignment="1">
      <alignment horizontal="left"/>
    </xf>
    <xf numFmtId="2" fontId="42" fillId="11" borderId="16" xfId="0" applyNumberFormat="1" applyFont="1" applyFill="1" applyBorder="1" applyAlignment="1">
      <alignment horizontal="center" vertical="top" shrinkToFit="1"/>
    </xf>
    <xf numFmtId="2" fontId="42" fillId="3" borderId="0" xfId="4" applyNumberFormat="1" applyFont="1" applyFill="1" applyBorder="1" applyAlignment="1">
      <alignment horizontal="center" vertical="top"/>
    </xf>
    <xf numFmtId="0" fontId="69" fillId="3" borderId="0" xfId="0" applyNumberFormat="1" applyFont="1" applyFill="1" applyBorder="1" applyAlignment="1">
      <alignment horizontal="center"/>
    </xf>
    <xf numFmtId="0" fontId="59" fillId="3" borderId="0" xfId="0" applyFont="1" applyFill="1" applyBorder="1" applyAlignment="1">
      <alignment horizontal="left"/>
    </xf>
    <xf numFmtId="0" fontId="38" fillId="3" borderId="4" xfId="0" applyFont="1" applyFill="1" applyBorder="1" applyAlignment="1">
      <alignment horizontal="center"/>
    </xf>
    <xf numFmtId="0" fontId="0" fillId="3" borderId="4" xfId="0" applyFont="1" applyFill="1" applyBorder="1" applyAlignment="1">
      <alignment horizontal="center"/>
    </xf>
    <xf numFmtId="0" fontId="45" fillId="3" borderId="4" xfId="0" applyFont="1" applyFill="1" applyBorder="1" applyAlignment="1">
      <alignment horizontal="left"/>
    </xf>
    <xf numFmtId="0" fontId="39" fillId="3" borderId="4" xfId="0" applyNumberFormat="1" applyFont="1" applyFill="1" applyBorder="1" applyAlignment="1">
      <alignment horizontal="center"/>
    </xf>
    <xf numFmtId="0" fontId="40" fillId="3" borderId="4" xfId="0" applyFont="1" applyFill="1" applyBorder="1" applyAlignment="1">
      <alignment horizontal="left"/>
    </xf>
    <xf numFmtId="0" fontId="41" fillId="3" borderId="4" xfId="0" applyFont="1" applyFill="1" applyBorder="1" applyAlignment="1">
      <alignment horizontal="center"/>
    </xf>
    <xf numFmtId="0" fontId="42" fillId="3" borderId="4" xfId="0" applyFont="1" applyFill="1" applyBorder="1" applyAlignment="1">
      <alignment horizontal="center" vertical="top"/>
    </xf>
    <xf numFmtId="0" fontId="42" fillId="3" borderId="4" xfId="0" applyFont="1" applyFill="1" applyBorder="1" applyAlignment="1">
      <alignment horizontal="left" vertical="top"/>
    </xf>
    <xf numFmtId="0" fontId="0" fillId="3" borderId="4" xfId="0" applyFill="1" applyBorder="1"/>
    <xf numFmtId="2" fontId="42" fillId="3" borderId="4" xfId="0" applyNumberFormat="1" applyFont="1" applyFill="1" applyBorder="1" applyAlignment="1">
      <alignment horizontal="center" vertical="top" shrinkToFit="1"/>
    </xf>
    <xf numFmtId="0" fontId="41" fillId="3" borderId="4" xfId="0" applyFont="1" applyFill="1" applyBorder="1"/>
    <xf numFmtId="2" fontId="42" fillId="3" borderId="4" xfId="0" applyNumberFormat="1" applyFont="1" applyFill="1" applyBorder="1" applyAlignment="1">
      <alignment horizontal="center"/>
    </xf>
    <xf numFmtId="178" fontId="42" fillId="3" borderId="4" xfId="0" applyNumberFormat="1" applyFont="1" applyFill="1" applyBorder="1" applyAlignment="1">
      <alignment horizontal="center"/>
    </xf>
    <xf numFmtId="0" fontId="42" fillId="3" borderId="4" xfId="0" applyFont="1" applyFill="1" applyBorder="1" applyAlignment="1">
      <alignment horizontal="left"/>
    </xf>
    <xf numFmtId="2" fontId="43" fillId="3" borderId="4" xfId="0" applyNumberFormat="1" applyFont="1" applyFill="1" applyBorder="1" applyAlignment="1">
      <alignment horizontal="center"/>
    </xf>
    <xf numFmtId="0" fontId="43" fillId="3" borderId="4" xfId="0" applyFont="1" applyFill="1" applyBorder="1" applyAlignment="1">
      <alignment horizontal="left"/>
    </xf>
    <xf numFmtId="0" fontId="44" fillId="3" borderId="4" xfId="0" applyFont="1" applyFill="1" applyBorder="1" applyAlignment="1">
      <alignment horizontal="center"/>
    </xf>
    <xf numFmtId="0" fontId="44" fillId="3" borderId="4" xfId="0" applyFont="1" applyFill="1" applyBorder="1" applyAlignment="1">
      <alignment horizontal="left"/>
    </xf>
    <xf numFmtId="0" fontId="42" fillId="3" borderId="4" xfId="0" applyFont="1" applyFill="1" applyBorder="1" applyAlignment="1">
      <alignment horizontal="center"/>
    </xf>
    <xf numFmtId="0" fontId="42" fillId="3" borderId="4" xfId="4" applyNumberFormat="1" applyFont="1" applyFill="1" applyBorder="1" applyAlignment="1">
      <alignment horizontal="center"/>
    </xf>
    <xf numFmtId="0" fontId="41" fillId="3" borderId="4" xfId="0" applyFont="1" applyFill="1" applyBorder="1" applyAlignment="1">
      <alignment vertical="top"/>
    </xf>
    <xf numFmtId="0" fontId="42" fillId="3" borderId="4" xfId="0" applyNumberFormat="1" applyFont="1" applyFill="1" applyBorder="1" applyAlignment="1">
      <alignment horizontal="center"/>
    </xf>
    <xf numFmtId="1" fontId="42" fillId="3" borderId="4" xfId="0" applyNumberFormat="1" applyFont="1" applyFill="1" applyBorder="1" applyAlignment="1">
      <alignment horizontal="center" wrapText="1"/>
    </xf>
    <xf numFmtId="0" fontId="42" fillId="3" borderId="4" xfId="0" applyNumberFormat="1" applyFont="1" applyFill="1" applyBorder="1" applyAlignment="1">
      <alignment horizontal="center" wrapText="1"/>
    </xf>
    <xf numFmtId="9" fontId="42" fillId="3" borderId="4" xfId="4" applyFont="1" applyFill="1" applyBorder="1" applyAlignment="1">
      <alignment horizontal="center"/>
    </xf>
    <xf numFmtId="0" fontId="42" fillId="3" borderId="4" xfId="0" applyFont="1" applyFill="1" applyBorder="1" applyAlignment="1">
      <alignment horizontal="center" wrapText="1"/>
    </xf>
    <xf numFmtId="1" fontId="42" fillId="3" borderId="4" xfId="0" applyNumberFormat="1" applyFont="1" applyFill="1" applyBorder="1" applyAlignment="1">
      <alignment horizontal="center"/>
    </xf>
    <xf numFmtId="1" fontId="42" fillId="3" borderId="4" xfId="0" applyNumberFormat="1" applyFont="1" applyFill="1" applyBorder="1" applyAlignment="1">
      <alignment horizontal="left"/>
    </xf>
    <xf numFmtId="179" fontId="41" fillId="3" borderId="4" xfId="0" applyNumberFormat="1" applyFont="1" applyFill="1" applyBorder="1" applyAlignment="1">
      <alignment horizontal="center"/>
    </xf>
    <xf numFmtId="0" fontId="38" fillId="3" borderId="9" xfId="0" applyFont="1" applyFill="1" applyBorder="1" applyAlignment="1">
      <alignment horizontal="center"/>
    </xf>
    <xf numFmtId="0" fontId="0" fillId="3" borderId="9" xfId="0" applyFont="1" applyFill="1" applyBorder="1" applyAlignment="1">
      <alignment horizontal="center"/>
    </xf>
    <xf numFmtId="0" fontId="45" fillId="3" borderId="9" xfId="0" applyFont="1" applyFill="1" applyBorder="1" applyAlignment="1">
      <alignment horizontal="left"/>
    </xf>
    <xf numFmtId="0" fontId="39" fillId="3" borderId="9" xfId="0" applyNumberFormat="1" applyFont="1" applyFill="1" applyBorder="1" applyAlignment="1">
      <alignment horizontal="center"/>
    </xf>
    <xf numFmtId="0" fontId="40" fillId="3" borderId="9" xfId="0" applyFont="1" applyFill="1" applyBorder="1" applyAlignment="1">
      <alignment horizontal="left"/>
    </xf>
    <xf numFmtId="0" fontId="41" fillId="3" borderId="9" xfId="0" applyFont="1" applyFill="1" applyBorder="1" applyAlignment="1">
      <alignment horizontal="center"/>
    </xf>
    <xf numFmtId="0" fontId="42" fillId="3" borderId="9" xfId="0" applyFont="1" applyFill="1" applyBorder="1" applyAlignment="1">
      <alignment horizontal="left" vertical="top"/>
    </xf>
    <xf numFmtId="0" fontId="0" fillId="3" borderId="9" xfId="0" applyFill="1" applyBorder="1"/>
    <xf numFmtId="2" fontId="42" fillId="3" borderId="9" xfId="0" applyNumberFormat="1" applyFont="1" applyFill="1" applyBorder="1" applyAlignment="1">
      <alignment horizontal="center" vertical="top" shrinkToFit="1"/>
    </xf>
    <xf numFmtId="0" fontId="41" fillId="3" borderId="9" xfId="0" applyFont="1" applyFill="1" applyBorder="1"/>
    <xf numFmtId="2" fontId="42" fillId="3" borderId="9" xfId="0" applyNumberFormat="1" applyFont="1" applyFill="1" applyBorder="1" applyAlignment="1">
      <alignment horizontal="center"/>
    </xf>
    <xf numFmtId="0" fontId="42" fillId="3" borderId="9" xfId="0" applyFont="1" applyFill="1" applyBorder="1" applyAlignment="1">
      <alignment horizontal="left"/>
    </xf>
    <xf numFmtId="0" fontId="43" fillId="3" borderId="9" xfId="0" applyFont="1" applyFill="1" applyBorder="1" applyAlignment="1">
      <alignment horizontal="left"/>
    </xf>
    <xf numFmtId="0" fontId="44" fillId="3" borderId="9" xfId="0" applyFont="1" applyFill="1" applyBorder="1" applyAlignment="1">
      <alignment horizontal="left"/>
    </xf>
    <xf numFmtId="0" fontId="42" fillId="3" borderId="9" xfId="4" applyNumberFormat="1" applyFont="1" applyFill="1" applyBorder="1" applyAlignment="1">
      <alignment horizontal="center"/>
    </xf>
    <xf numFmtId="0" fontId="41" fillId="3" borderId="9" xfId="0" applyFont="1" applyFill="1" applyBorder="1" applyAlignment="1">
      <alignment vertical="top"/>
    </xf>
    <xf numFmtId="0" fontId="42" fillId="3" borderId="9" xfId="0" applyFont="1" applyFill="1" applyBorder="1" applyAlignment="1">
      <alignment horizontal="center"/>
    </xf>
    <xf numFmtId="1" fontId="42" fillId="3" borderId="9" xfId="0" applyNumberFormat="1" applyFont="1" applyFill="1" applyBorder="1" applyAlignment="1">
      <alignment horizontal="left"/>
    </xf>
    <xf numFmtId="0" fontId="42" fillId="3" borderId="9" xfId="0" applyFont="1" applyFill="1" applyBorder="1" applyAlignment="1">
      <alignment horizontal="center" vertical="top"/>
    </xf>
    <xf numFmtId="0" fontId="58" fillId="3" borderId="0" xfId="0" applyFont="1" applyFill="1" applyBorder="1" applyAlignment="1">
      <alignment horizontal="left" vertical="top"/>
    </xf>
    <xf numFmtId="0" fontId="57" fillId="3" borderId="0" xfId="0" applyFont="1" applyFill="1" applyBorder="1" applyAlignment="1">
      <alignment horizontal="center"/>
    </xf>
    <xf numFmtId="178" fontId="42" fillId="3" borderId="9" xfId="0" applyNumberFormat="1" applyFont="1" applyFill="1" applyBorder="1" applyAlignment="1">
      <alignment horizontal="center"/>
    </xf>
    <xf numFmtId="2" fontId="43" fillId="3" borderId="9" xfId="0" applyNumberFormat="1" applyFont="1" applyFill="1" applyBorder="1" applyAlignment="1">
      <alignment horizontal="center"/>
    </xf>
    <xf numFmtId="0" fontId="44" fillId="3" borderId="9" xfId="0" applyFont="1" applyFill="1" applyBorder="1" applyAlignment="1">
      <alignment horizontal="center"/>
    </xf>
    <xf numFmtId="0" fontId="42" fillId="3" borderId="9" xfId="0" applyNumberFormat="1" applyFont="1" applyFill="1" applyBorder="1" applyAlignment="1">
      <alignment horizontal="center"/>
    </xf>
    <xf numFmtId="1" fontId="42" fillId="3" borderId="9" xfId="0" applyNumberFormat="1" applyFont="1" applyFill="1" applyBorder="1" applyAlignment="1">
      <alignment horizontal="center" wrapText="1"/>
    </xf>
    <xf numFmtId="0" fontId="42" fillId="3" borderId="9" xfId="0" applyNumberFormat="1" applyFont="1" applyFill="1" applyBorder="1" applyAlignment="1">
      <alignment horizontal="center" wrapText="1"/>
    </xf>
    <xf numFmtId="9" fontId="42" fillId="3" borderId="9" xfId="4" applyFont="1" applyFill="1" applyBorder="1" applyAlignment="1">
      <alignment horizontal="center"/>
    </xf>
    <xf numFmtId="0" fontId="42" fillId="3" borderId="9" xfId="0" applyFont="1" applyFill="1" applyBorder="1" applyAlignment="1">
      <alignment horizontal="center" wrapText="1"/>
    </xf>
    <xf numFmtId="1" fontId="42" fillId="3" borderId="9" xfId="0" applyNumberFormat="1" applyFont="1" applyFill="1" applyBorder="1" applyAlignment="1">
      <alignment horizontal="center"/>
    </xf>
    <xf numFmtId="179" fontId="41" fillId="3" borderId="9" xfId="0" applyNumberFormat="1" applyFont="1" applyFill="1" applyBorder="1" applyAlignment="1">
      <alignment horizontal="center"/>
    </xf>
    <xf numFmtId="0" fontId="42" fillId="3" borderId="9" xfId="0" applyFont="1" applyFill="1" applyBorder="1" applyAlignment="1">
      <alignment vertical="top"/>
    </xf>
    <xf numFmtId="1" fontId="52" fillId="3" borderId="0" xfId="0" applyNumberFormat="1" applyFont="1" applyFill="1" applyBorder="1" applyAlignment="1">
      <alignment horizontal="center" vertical="top"/>
    </xf>
    <xf numFmtId="0" fontId="68" fillId="3" borderId="0" xfId="0" applyNumberFormat="1" applyFont="1" applyFill="1" applyBorder="1" applyAlignment="1">
      <alignment horizontal="center"/>
    </xf>
    <xf numFmtId="0" fontId="57" fillId="3" borderId="0" xfId="0" applyFont="1" applyFill="1" applyBorder="1" applyAlignment="1">
      <alignment horizontal="center" wrapText="1"/>
    </xf>
    <xf numFmtId="0" fontId="70" fillId="3" borderId="0" xfId="0" applyFont="1" applyFill="1" applyBorder="1" applyAlignment="1">
      <alignment horizontal="left"/>
    </xf>
    <xf numFmtId="9" fontId="39" fillId="3" borderId="0" xfId="0" applyNumberFormat="1" applyFont="1" applyFill="1" applyBorder="1" applyAlignment="1">
      <alignment horizontal="center"/>
    </xf>
    <xf numFmtId="2" fontId="43" fillId="3" borderId="0" xfId="0" applyNumberFormat="1" applyFont="1" applyFill="1" applyBorder="1" applyAlignment="1">
      <alignment horizontal="center" vertical="top"/>
    </xf>
    <xf numFmtId="0" fontId="39" fillId="3" borderId="0" xfId="0" applyNumberFormat="1" applyFont="1" applyFill="1" applyBorder="1" applyAlignment="1">
      <alignment horizontal="center" vertical="center"/>
    </xf>
    <xf numFmtId="1" fontId="67" fillId="3" borderId="9" xfId="0" applyNumberFormat="1" applyFont="1" applyFill="1" applyBorder="1" applyAlignment="1">
      <alignment horizontal="center" wrapText="1"/>
    </xf>
    <xf numFmtId="0" fontId="67" fillId="3" borderId="9" xfId="0" applyFont="1" applyFill="1" applyBorder="1" applyAlignment="1">
      <alignment horizontal="center"/>
    </xf>
    <xf numFmtId="1" fontId="52" fillId="3" borderId="9" xfId="0" applyNumberFormat="1" applyFont="1" applyFill="1" applyBorder="1" applyAlignment="1">
      <alignment horizontal="center"/>
    </xf>
    <xf numFmtId="0" fontId="42" fillId="3" borderId="0" xfId="0" quotePrefix="1" applyFont="1" applyFill="1" applyBorder="1" applyAlignment="1"/>
    <xf numFmtId="1" fontId="67" fillId="3" borderId="0" xfId="0" applyNumberFormat="1" applyFont="1" applyFill="1" applyBorder="1" applyAlignment="1">
      <alignment horizontal="center" wrapText="1"/>
    </xf>
    <xf numFmtId="0" fontId="67" fillId="3" borderId="0" xfId="0" applyFont="1" applyFill="1" applyBorder="1" applyAlignment="1">
      <alignment horizontal="left"/>
    </xf>
    <xf numFmtId="1" fontId="42" fillId="3" borderId="0" xfId="0" applyNumberFormat="1" applyFont="1" applyFill="1" applyBorder="1" applyAlignment="1">
      <alignment horizontal="center" vertical="top"/>
    </xf>
    <xf numFmtId="0" fontId="43" fillId="3" borderId="0" xfId="0" applyFont="1" applyFill="1" applyBorder="1" applyAlignment="1">
      <alignment horizontal="left" wrapText="1"/>
    </xf>
    <xf numFmtId="0" fontId="40" fillId="3" borderId="0" xfId="0" applyFont="1" applyFill="1" applyBorder="1" applyAlignment="1">
      <alignment horizontal="left" vertical="center"/>
    </xf>
    <xf numFmtId="178" fontId="42" fillId="3" borderId="7" xfId="0" applyNumberFormat="1" applyFont="1" applyFill="1" applyBorder="1" applyAlignment="1">
      <alignment horizontal="center"/>
    </xf>
    <xf numFmtId="0" fontId="42" fillId="3" borderId="7" xfId="0" applyFont="1" applyFill="1" applyBorder="1" applyAlignment="1">
      <alignment horizontal="left" vertical="top" wrapText="1"/>
    </xf>
    <xf numFmtId="0" fontId="41" fillId="3" borderId="0" xfId="0" applyFont="1" applyFill="1" applyBorder="1" applyAlignment="1">
      <alignment vertical="center"/>
    </xf>
    <xf numFmtId="0" fontId="72" fillId="3" borderId="0" xfId="0" applyFont="1" applyFill="1" applyBorder="1" applyAlignment="1">
      <alignment horizontal="left"/>
    </xf>
    <xf numFmtId="0" fontId="39" fillId="3" borderId="0" xfId="0" applyNumberFormat="1" applyFont="1" applyFill="1" applyBorder="1" applyAlignment="1">
      <alignment horizontal="center" wrapText="1"/>
    </xf>
    <xf numFmtId="0" fontId="67" fillId="3" borderId="0" xfId="0" applyNumberFormat="1" applyFont="1" applyFill="1" applyBorder="1" applyAlignment="1">
      <alignment horizontal="center"/>
    </xf>
    <xf numFmtId="2" fontId="42" fillId="3" borderId="16" xfId="0" applyNumberFormat="1" applyFont="1" applyFill="1" applyBorder="1" applyAlignment="1">
      <alignment horizontal="center" vertical="top"/>
    </xf>
    <xf numFmtId="8" fontId="42" fillId="3" borderId="0" xfId="0" applyNumberFormat="1" applyFont="1" applyFill="1" applyBorder="1" applyAlignment="1">
      <alignment horizontal="center"/>
    </xf>
    <xf numFmtId="7" fontId="42" fillId="3" borderId="0" xfId="0" applyNumberFormat="1" applyFont="1" applyFill="1" applyBorder="1" applyAlignment="1">
      <alignment horizontal="left"/>
    </xf>
    <xf numFmtId="2" fontId="42" fillId="3" borderId="0" xfId="4" applyNumberFormat="1" applyFont="1" applyFill="1" applyBorder="1" applyAlignment="1">
      <alignment horizontal="center"/>
    </xf>
    <xf numFmtId="180" fontId="42" fillId="3" borderId="0" xfId="0" applyNumberFormat="1" applyFont="1" applyFill="1" applyBorder="1" applyAlignment="1">
      <alignment horizontal="left" vertical="top"/>
    </xf>
    <xf numFmtId="179" fontId="44" fillId="3" borderId="0" xfId="0" applyNumberFormat="1" applyFont="1" applyFill="1" applyBorder="1" applyAlignment="1">
      <alignment horizontal="center"/>
    </xf>
    <xf numFmtId="1" fontId="42" fillId="3" borderId="0" xfId="4" applyNumberFormat="1" applyFont="1" applyFill="1" applyBorder="1" applyAlignment="1">
      <alignment horizontal="center" vertical="top"/>
    </xf>
    <xf numFmtId="0" fontId="74"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75" fillId="3" borderId="0" xfId="0" applyFont="1" applyFill="1" applyBorder="1" applyAlignment="1">
      <alignment horizontal="left"/>
    </xf>
    <xf numFmtId="2" fontId="42" fillId="3" borderId="0" xfId="0" applyNumberFormat="1" applyFont="1" applyFill="1" applyBorder="1" applyAlignment="1">
      <alignment horizontal="center" vertical="top" wrapText="1" shrinkToFit="1"/>
    </xf>
    <xf numFmtId="0" fontId="57" fillId="3" borderId="0" xfId="0" applyFont="1" applyFill="1" applyBorder="1" applyAlignment="1"/>
    <xf numFmtId="1" fontId="43" fillId="3" borderId="0" xfId="0" applyNumberFormat="1" applyFont="1" applyFill="1" applyBorder="1" applyAlignment="1">
      <alignment horizontal="center" vertical="top"/>
    </xf>
    <xf numFmtId="1" fontId="42" fillId="3" borderId="0" xfId="4" applyNumberFormat="1" applyFont="1" applyFill="1" applyBorder="1" applyAlignment="1">
      <alignment horizontal="center"/>
    </xf>
    <xf numFmtId="1" fontId="57" fillId="3" borderId="0" xfId="0" applyNumberFormat="1" applyFont="1" applyFill="1" applyBorder="1" applyAlignment="1">
      <alignment horizontal="left"/>
    </xf>
    <xf numFmtId="0" fontId="64" fillId="3" borderId="0" xfId="0" applyFont="1" applyFill="1" applyBorder="1" applyAlignment="1">
      <alignment horizontal="left"/>
    </xf>
    <xf numFmtId="179" fontId="43" fillId="3" borderId="0" xfId="0" applyNumberFormat="1" applyFont="1" applyFill="1" applyBorder="1" applyAlignment="1">
      <alignment horizontal="center"/>
    </xf>
    <xf numFmtId="1" fontId="57" fillId="3" borderId="0" xfId="0" applyNumberFormat="1" applyFont="1" applyFill="1" applyBorder="1" applyAlignment="1">
      <alignment horizontal="center" wrapText="1"/>
    </xf>
    <xf numFmtId="0" fontId="76" fillId="3" borderId="16" xfId="0" applyFont="1" applyFill="1" applyBorder="1" applyAlignment="1">
      <alignment horizontal="center"/>
    </xf>
    <xf numFmtId="0" fontId="41" fillId="3" borderId="0" xfId="0" applyFont="1" applyFill="1" applyBorder="1" applyAlignment="1">
      <alignment horizontal="left" vertical="top" wrapText="1"/>
    </xf>
    <xf numFmtId="0" fontId="67" fillId="3" borderId="0" xfId="0" applyFont="1" applyFill="1" applyBorder="1" applyAlignment="1">
      <alignment horizontal="center"/>
    </xf>
    <xf numFmtId="0" fontId="39" fillId="3" borderId="16" xfId="0" applyNumberFormat="1" applyFont="1" applyFill="1" applyBorder="1" applyAlignment="1">
      <alignment horizontal="center" vertical="center"/>
    </xf>
    <xf numFmtId="0" fontId="40" fillId="3" borderId="16" xfId="0" applyFont="1" applyFill="1" applyBorder="1" applyAlignment="1">
      <alignment horizontal="left" vertical="center"/>
    </xf>
    <xf numFmtId="0" fontId="43" fillId="3" borderId="16" xfId="0" applyFont="1" applyFill="1" applyBorder="1" applyAlignment="1">
      <alignment horizontal="center"/>
    </xf>
    <xf numFmtId="0" fontId="40" fillId="3" borderId="16" xfId="0" applyFont="1" applyFill="1" applyBorder="1" applyAlignment="1">
      <alignment horizontal="left" vertical="top"/>
    </xf>
    <xf numFmtId="2" fontId="42" fillId="3" borderId="0" xfId="0" applyNumberFormat="1" applyFont="1" applyFill="1" applyBorder="1" applyAlignment="1">
      <alignment horizontal="center" shrinkToFit="1"/>
    </xf>
    <xf numFmtId="0" fontId="44" fillId="3" borderId="0" xfId="0" applyNumberFormat="1" applyFont="1" applyFill="1" applyBorder="1" applyAlignment="1">
      <alignment horizontal="left"/>
    </xf>
    <xf numFmtId="0" fontId="81" fillId="3" borderId="0" xfId="0" applyFont="1" applyFill="1" applyBorder="1" applyAlignment="1">
      <alignment horizontal="left" wrapText="1"/>
    </xf>
    <xf numFmtId="0" fontId="41" fillId="3" borderId="0" xfId="0" applyFont="1" applyFill="1" applyBorder="1" applyAlignment="1">
      <alignment shrinkToFit="1"/>
    </xf>
    <xf numFmtId="178" fontId="41" fillId="3" borderId="0" xfId="0" applyNumberFormat="1" applyFont="1" applyFill="1" applyBorder="1"/>
    <xf numFmtId="0" fontId="41" fillId="3" borderId="0" xfId="0" applyFont="1" applyFill="1" applyBorder="1" applyAlignment="1">
      <alignment wrapText="1"/>
    </xf>
    <xf numFmtId="0" fontId="52" fillId="3" borderId="16" xfId="0" applyFont="1" applyFill="1" applyBorder="1" applyAlignment="1">
      <alignment horizontal="left"/>
    </xf>
    <xf numFmtId="0" fontId="83" fillId="3" borderId="16" xfId="0" applyFont="1" applyFill="1" applyBorder="1" applyAlignment="1">
      <alignment vertical="center"/>
    </xf>
    <xf numFmtId="0" fontId="41" fillId="3" borderId="16" xfId="0" applyFont="1" applyFill="1" applyBorder="1" applyAlignment="1">
      <alignment shrinkToFit="1"/>
    </xf>
    <xf numFmtId="178" fontId="41" fillId="3" borderId="16" xfId="0" applyNumberFormat="1" applyFont="1" applyFill="1" applyBorder="1"/>
    <xf numFmtId="0" fontId="41" fillId="3" borderId="16" xfId="0" applyFont="1" applyFill="1" applyBorder="1" applyAlignment="1">
      <alignment wrapText="1"/>
    </xf>
    <xf numFmtId="0" fontId="40" fillId="3" borderId="0" xfId="0" applyFont="1" applyFill="1" applyBorder="1" applyAlignment="1">
      <alignment vertical="center"/>
    </xf>
    <xf numFmtId="0" fontId="57" fillId="3" borderId="0" xfId="0" applyFont="1" applyFill="1" applyBorder="1"/>
    <xf numFmtId="0" fontId="41" fillId="3" borderId="0" xfId="0" applyFont="1" applyFill="1" applyBorder="1" applyAlignment="1">
      <alignment horizontal="center" vertical="center"/>
    </xf>
    <xf numFmtId="0" fontId="41" fillId="3" borderId="0" xfId="0" applyFont="1" applyFill="1" applyBorder="1" applyAlignment="1">
      <alignment horizontal="center" vertical="top"/>
    </xf>
    <xf numFmtId="0" fontId="58" fillId="3" borderId="0" xfId="0" applyFont="1" applyFill="1" applyBorder="1" applyAlignment="1">
      <alignment horizontal="center" vertical="top"/>
    </xf>
    <xf numFmtId="0" fontId="58" fillId="3" borderId="0" xfId="0" applyFont="1" applyFill="1" applyBorder="1" applyAlignment="1">
      <alignment vertical="top"/>
    </xf>
    <xf numFmtId="2" fontId="57" fillId="3" borderId="0" xfId="0" applyNumberFormat="1" applyFont="1" applyFill="1" applyBorder="1" applyAlignment="1">
      <alignment horizontal="center" vertical="top"/>
    </xf>
    <xf numFmtId="0" fontId="57" fillId="3" borderId="0" xfId="0" applyFont="1" applyFill="1" applyBorder="1" applyAlignment="1">
      <alignment vertical="top"/>
    </xf>
    <xf numFmtId="0" fontId="81" fillId="3" borderId="0" xfId="0" applyFont="1" applyFill="1" applyBorder="1" applyAlignment="1"/>
    <xf numFmtId="0" fontId="41" fillId="3" borderId="0" xfId="0" applyFont="1" applyFill="1" applyBorder="1" applyAlignment="1">
      <alignment horizontal="center" wrapText="1"/>
    </xf>
    <xf numFmtId="0" fontId="58" fillId="3" borderId="0" xfId="0" applyFont="1" applyFill="1" applyBorder="1" applyAlignment="1">
      <alignment horizontal="center"/>
    </xf>
    <xf numFmtId="0" fontId="0" fillId="3" borderId="0" xfId="0" applyFill="1" applyBorder="1" applyAlignment="1">
      <alignment vertical="center"/>
    </xf>
    <xf numFmtId="0" fontId="52" fillId="3" borderId="0" xfId="0" applyFont="1" applyFill="1" applyBorder="1"/>
    <xf numFmtId="0" fontId="85" fillId="3" borderId="0" xfId="0" applyFont="1" applyFill="1" applyBorder="1" applyAlignment="1">
      <alignment horizontal="center"/>
    </xf>
    <xf numFmtId="0" fontId="41" fillId="3" borderId="0" xfId="0" applyFont="1" applyFill="1" applyBorder="1" applyAlignment="1">
      <alignment horizontal="left" vertical="center"/>
    </xf>
    <xf numFmtId="0" fontId="41" fillId="3" borderId="0" xfId="0" applyFont="1" applyFill="1" applyBorder="1" applyAlignment="1">
      <alignment horizontal="center" vertical="center" wrapText="1"/>
    </xf>
    <xf numFmtId="0" fontId="86" fillId="3" borderId="0" xfId="0" applyFont="1" applyFill="1" applyBorder="1"/>
    <xf numFmtId="0" fontId="72" fillId="3" borderId="0" xfId="0" applyFont="1" applyFill="1" applyBorder="1"/>
    <xf numFmtId="0" fontId="42" fillId="3" borderId="16" xfId="0" applyNumberFormat="1" applyFont="1" applyFill="1" applyBorder="1" applyAlignment="1">
      <alignment horizontal="center" vertical="top"/>
    </xf>
    <xf numFmtId="0" fontId="44" fillId="3" borderId="0" xfId="0" applyFont="1" applyFill="1" applyBorder="1" applyAlignment="1">
      <alignment horizontal="right"/>
    </xf>
    <xf numFmtId="0" fontId="44" fillId="3" borderId="0" xfId="0" applyFont="1" applyFill="1" applyBorder="1" applyAlignment="1"/>
    <xf numFmtId="0" fontId="67" fillId="3" borderId="0" xfId="0" applyFont="1" applyFill="1" applyBorder="1" applyAlignment="1"/>
    <xf numFmtId="0" fontId="38" fillId="3" borderId="0" xfId="0" applyFont="1" applyFill="1" applyBorder="1" applyAlignment="1">
      <alignment vertical="top"/>
    </xf>
    <xf numFmtId="0" fontId="0" fillId="3" borderId="0" xfId="0" applyFont="1" applyFill="1" applyBorder="1" applyAlignment="1">
      <alignment vertical="top"/>
    </xf>
    <xf numFmtId="0" fontId="43" fillId="3" borderId="0" xfId="0" applyFont="1" applyFill="1" applyBorder="1" applyAlignment="1">
      <alignment vertical="top"/>
    </xf>
    <xf numFmtId="0" fontId="44" fillId="3" borderId="0" xfId="0" applyFont="1" applyFill="1" applyBorder="1" applyAlignment="1">
      <alignment horizontal="right" vertical="top"/>
    </xf>
    <xf numFmtId="0" fontId="44" fillId="3" borderId="0" xfId="0" applyFont="1" applyFill="1" applyBorder="1" applyAlignment="1">
      <alignment vertical="top"/>
    </xf>
    <xf numFmtId="0" fontId="42" fillId="3" borderId="0" xfId="4" applyNumberFormat="1" applyFont="1" applyFill="1" applyBorder="1" applyAlignment="1">
      <alignment horizontal="center" vertical="top"/>
    </xf>
    <xf numFmtId="1" fontId="42" fillId="3" borderId="0" xfId="0" applyNumberFormat="1" applyFont="1" applyFill="1" applyBorder="1" applyAlignment="1">
      <alignment vertical="top"/>
    </xf>
    <xf numFmtId="0" fontId="42" fillId="3" borderId="0" xfId="0" applyNumberFormat="1" applyFont="1" applyFill="1" applyBorder="1" applyAlignment="1">
      <alignment vertical="top"/>
    </xf>
    <xf numFmtId="0" fontId="12" fillId="3" borderId="0" xfId="1" applyFill="1" applyBorder="1" applyAlignment="1">
      <alignment vertical="center"/>
    </xf>
    <xf numFmtId="0" fontId="0" fillId="3" borderId="0" xfId="0" applyFill="1" applyBorder="1" applyAlignment="1">
      <alignment horizontal="center"/>
    </xf>
    <xf numFmtId="0" fontId="87" fillId="3" borderId="0" xfId="0" applyFont="1" applyFill="1" applyBorder="1"/>
    <xf numFmtId="0" fontId="44" fillId="3" borderId="0" xfId="0" applyFont="1" applyFill="1" applyBorder="1"/>
    <xf numFmtId="179" fontId="0" fillId="3" borderId="0" xfId="0" applyNumberFormat="1" applyFill="1" applyBorder="1" applyAlignment="1">
      <alignment horizontal="center"/>
    </xf>
    <xf numFmtId="0" fontId="42" fillId="3" borderId="0" xfId="0" applyFont="1" applyFill="1" applyAlignment="1"/>
    <xf numFmtId="0" fontId="41" fillId="3" borderId="0" xfId="0" applyFont="1" applyFill="1" applyAlignment="1">
      <alignment shrinkToFit="1"/>
    </xf>
    <xf numFmtId="0" fontId="81" fillId="3" borderId="0" xfId="0" applyFont="1" applyFill="1" applyAlignment="1"/>
    <xf numFmtId="0" fontId="41" fillId="3" borderId="0" xfId="0" applyFont="1" applyFill="1" applyAlignment="1">
      <alignment wrapText="1"/>
    </xf>
    <xf numFmtId="0" fontId="41" fillId="3" borderId="0" xfId="0" applyFont="1" applyFill="1" applyAlignment="1">
      <alignment vertical="top"/>
    </xf>
    <xf numFmtId="0" fontId="42" fillId="3" borderId="0" xfId="0" applyFont="1" applyFill="1"/>
    <xf numFmtId="0" fontId="42" fillId="3" borderId="0" xfId="0" applyFont="1" applyFill="1" applyAlignment="1">
      <alignment vertical="top"/>
    </xf>
    <xf numFmtId="0" fontId="44" fillId="3" borderId="0" xfId="0" applyFont="1" applyFill="1"/>
    <xf numFmtId="0" fontId="44" fillId="3" borderId="0" xfId="0" applyFont="1" applyFill="1" applyAlignment="1"/>
    <xf numFmtId="0" fontId="41" fillId="3" borderId="0" xfId="0" applyFont="1" applyFill="1" applyAlignment="1">
      <alignment vertical="top" wrapText="1"/>
    </xf>
    <xf numFmtId="2" fontId="41" fillId="3" borderId="0" xfId="0" applyNumberFormat="1" applyFont="1" applyFill="1" applyAlignment="1"/>
    <xf numFmtId="0" fontId="55" fillId="3" borderId="0" xfId="0" applyFont="1" applyFill="1" applyAlignment="1"/>
    <xf numFmtId="0" fontId="87" fillId="3" borderId="9" xfId="0" applyFont="1" applyFill="1" applyBorder="1"/>
    <xf numFmtId="0" fontId="88" fillId="3" borderId="9" xfId="0" applyFont="1" applyFill="1" applyBorder="1"/>
    <xf numFmtId="0" fontId="87" fillId="3" borderId="0" xfId="0" applyFont="1" applyFill="1"/>
    <xf numFmtId="0" fontId="89" fillId="3" borderId="0" xfId="0" applyFont="1" applyFill="1" applyBorder="1" applyAlignment="1">
      <alignment horizontal="left"/>
    </xf>
    <xf numFmtId="1" fontId="0" fillId="3" borderId="0" xfId="0" applyNumberFormat="1" applyFont="1" applyFill="1"/>
    <xf numFmtId="1" fontId="0" fillId="3" borderId="0" xfId="0" applyNumberFormat="1" applyFont="1" applyFill="1" applyAlignment="1"/>
    <xf numFmtId="0" fontId="89" fillId="3" borderId="9" xfId="0" applyFont="1" applyFill="1" applyBorder="1" applyAlignment="1">
      <alignment horizontal="left"/>
    </xf>
    <xf numFmtId="0" fontId="0" fillId="3" borderId="9" xfId="0" applyFont="1" applyFill="1" applyBorder="1"/>
    <xf numFmtId="0" fontId="42" fillId="3" borderId="9" xfId="0" applyFont="1" applyFill="1" applyBorder="1" applyAlignment="1"/>
    <xf numFmtId="0" fontId="41" fillId="3" borderId="9" xfId="0" applyFont="1" applyFill="1" applyBorder="1" applyAlignment="1"/>
    <xf numFmtId="0" fontId="81" fillId="3" borderId="9" xfId="0" applyFont="1" applyFill="1" applyBorder="1" applyAlignment="1"/>
    <xf numFmtId="0" fontId="44" fillId="3" borderId="9" xfId="0" applyFont="1" applyFill="1" applyBorder="1" applyAlignment="1"/>
    <xf numFmtId="0" fontId="41" fillId="3" borderId="9" xfId="0" applyFont="1" applyFill="1" applyBorder="1" applyAlignment="1">
      <alignment vertical="top" wrapText="1"/>
    </xf>
    <xf numFmtId="2" fontId="41" fillId="3" borderId="9" xfId="0" applyNumberFormat="1" applyFont="1" applyFill="1" applyBorder="1" applyAlignment="1"/>
    <xf numFmtId="0" fontId="55" fillId="3" borderId="9" xfId="0" applyFont="1" applyFill="1" applyBorder="1" applyAlignment="1"/>
    <xf numFmtId="0" fontId="88" fillId="3" borderId="0" xfId="0" applyFont="1" applyFill="1" applyBorder="1" applyAlignment="1">
      <alignment horizontal="left"/>
    </xf>
    <xf numFmtId="0" fontId="89" fillId="3" borderId="7" xfId="0" applyFont="1" applyFill="1" applyBorder="1" applyAlignment="1">
      <alignment horizontal="center"/>
    </xf>
    <xf numFmtId="2" fontId="41" fillId="3" borderId="0" xfId="0" applyNumberFormat="1" applyFont="1" applyFill="1" applyAlignment="1">
      <alignment shrinkToFit="1"/>
    </xf>
    <xf numFmtId="0" fontId="8" fillId="0" borderId="0" xfId="0" applyFont="1" applyFill="1"/>
    <xf numFmtId="0" fontId="8" fillId="0" borderId="0" xfId="0" applyFont="1" applyFill="1" applyAlignment="1">
      <alignment wrapText="1"/>
    </xf>
    <xf numFmtId="166" fontId="0" fillId="0" borderId="0" xfId="2" applyNumberFormat="1" applyFont="1" applyFill="1"/>
    <xf numFmtId="169" fontId="0" fillId="0" borderId="0" xfId="4" applyNumberFormat="1" applyFont="1" applyFill="1"/>
    <xf numFmtId="168" fontId="0" fillId="0" borderId="0" xfId="3" applyNumberFormat="1" applyFont="1" applyFill="1"/>
    <xf numFmtId="170" fontId="0" fillId="0" borderId="0" xfId="0" applyNumberFormat="1" applyFill="1"/>
    <xf numFmtId="170" fontId="0" fillId="0" borderId="0" xfId="2" applyNumberFormat="1" applyFont="1" applyFill="1"/>
    <xf numFmtId="168" fontId="0" fillId="0" borderId="0" xfId="0" applyNumberFormat="1" applyFill="1"/>
    <xf numFmtId="0" fontId="0" fillId="0" borderId="0" xfId="0" applyFont="1" applyFill="1" applyAlignment="1"/>
    <xf numFmtId="0" fontId="8" fillId="0" borderId="0" xfId="0" applyFont="1" applyFill="1" applyAlignment="1"/>
    <xf numFmtId="0" fontId="12" fillId="0" borderId="0" xfId="1" applyFill="1" applyAlignment="1"/>
    <xf numFmtId="10" fontId="0" fillId="0" borderId="0" xfId="0" applyNumberFormat="1" applyFont="1" applyFill="1" applyAlignment="1"/>
    <xf numFmtId="0" fontId="15" fillId="0" borderId="0" xfId="0" applyFont="1" applyFill="1"/>
    <xf numFmtId="10" fontId="0" fillId="0" borderId="0" xfId="4" applyNumberFormat="1" applyFont="1" applyFill="1" applyAlignment="1"/>
    <xf numFmtId="0" fontId="0" fillId="0" borderId="0" xfId="0" applyFont="1" applyFill="1" applyAlignment="1">
      <alignment wrapText="1"/>
    </xf>
    <xf numFmtId="164" fontId="96" fillId="0" borderId="0" xfId="5" applyNumberFormat="1" applyFont="1" applyFill="1" applyAlignment="1">
      <alignment wrapText="1"/>
    </xf>
    <xf numFmtId="166" fontId="97" fillId="0" borderId="0" xfId="2" applyNumberFormat="1" applyFont="1" applyFill="1" applyAlignment="1">
      <alignment wrapText="1"/>
    </xf>
    <xf numFmtId="168" fontId="97" fillId="0" borderId="0" xfId="3" applyNumberFormat="1" applyFont="1" applyFill="1" applyAlignment="1">
      <alignment wrapText="1"/>
    </xf>
    <xf numFmtId="0" fontId="15" fillId="0" borderId="0" xfId="5" applyFill="1"/>
    <xf numFmtId="44" fontId="97" fillId="0" borderId="0" xfId="3" applyFont="1" applyFill="1"/>
    <xf numFmtId="179" fontId="15" fillId="0" borderId="0" xfId="18" applyNumberFormat="1" applyFont="1" applyFill="1"/>
    <xf numFmtId="168" fontId="97" fillId="0" borderId="0" xfId="3" applyNumberFormat="1" applyFont="1" applyFill="1"/>
    <xf numFmtId="9" fontId="8" fillId="0" borderId="0" xfId="4" applyFont="1" applyFill="1" applyAlignment="1"/>
    <xf numFmtId="43" fontId="15" fillId="0" borderId="0" xfId="2" applyFont="1" applyFill="1"/>
    <xf numFmtId="179" fontId="15" fillId="0" borderId="0" xfId="5" applyNumberFormat="1" applyFont="1" applyFill="1"/>
    <xf numFmtId="179" fontId="15" fillId="0" borderId="0" xfId="2" applyNumberFormat="1" applyFont="1" applyFill="1"/>
    <xf numFmtId="44" fontId="8" fillId="0" borderId="0" xfId="3" applyFont="1" applyFill="1" applyAlignment="1"/>
    <xf numFmtId="43" fontId="8" fillId="0" borderId="0" xfId="2" applyFont="1" applyFill="1" applyAlignment="1"/>
    <xf numFmtId="166" fontId="15" fillId="0" borderId="0" xfId="5" applyNumberFormat="1" applyFont="1" applyFill="1"/>
    <xf numFmtId="165" fontId="0" fillId="0" borderId="0" xfId="0" applyNumberFormat="1" applyFont="1" applyFill="1" applyAlignment="1"/>
    <xf numFmtId="168" fontId="0" fillId="0" borderId="0" xfId="0" applyNumberFormat="1" applyFont="1" applyFill="1" applyAlignment="1"/>
    <xf numFmtId="0" fontId="14" fillId="0" borderId="0" xfId="0" applyFont="1" applyFill="1" applyAlignment="1"/>
    <xf numFmtId="170" fontId="0" fillId="0" borderId="0" xfId="0" applyNumberFormat="1" applyFont="1" applyFill="1" applyAlignment="1"/>
    <xf numFmtId="168" fontId="0" fillId="0" borderId="0" xfId="3" applyNumberFormat="1" applyFont="1" applyFill="1" applyAlignment="1">
      <alignment wrapText="1"/>
    </xf>
    <xf numFmtId="9" fontId="0" fillId="0" borderId="0" xfId="0" applyNumberFormat="1" applyFont="1" applyFill="1" applyAlignment="1"/>
    <xf numFmtId="9" fontId="0" fillId="0" borderId="0" xfId="4" applyFont="1" applyFill="1" applyAlignment="1"/>
    <xf numFmtId="183" fontId="0" fillId="0" borderId="0" xfId="3" applyNumberFormat="1" applyFont="1" applyFill="1" applyAlignment="1"/>
    <xf numFmtId="37" fontId="0" fillId="0" borderId="0" xfId="0" applyNumberFormat="1" applyFont="1" applyFill="1" applyAlignment="1"/>
    <xf numFmtId="181" fontId="0" fillId="0" borderId="0" xfId="2" applyNumberFormat="1" applyFont="1" applyFill="1" applyAlignment="1"/>
    <xf numFmtId="181" fontId="0" fillId="0" borderId="0" xfId="0" applyNumberFormat="1" applyFill="1"/>
    <xf numFmtId="183" fontId="0" fillId="0" borderId="0" xfId="3" applyNumberFormat="1" applyFont="1" applyFill="1"/>
    <xf numFmtId="0" fontId="13" fillId="0" borderId="3" xfId="6" applyFont="1" applyFill="1" applyBorder="1"/>
    <xf numFmtId="0" fontId="13" fillId="0" borderId="4" xfId="6" applyFont="1" applyFill="1" applyBorder="1"/>
    <xf numFmtId="0" fontId="13" fillId="0" borderId="5" xfId="6" applyFont="1" applyFill="1" applyBorder="1"/>
    <xf numFmtId="6" fontId="13" fillId="0" borderId="6" xfId="6" applyNumberFormat="1" applyFont="1" applyFill="1" applyBorder="1"/>
    <xf numFmtId="49" fontId="13" fillId="0" borderId="0" xfId="6" applyNumberFormat="1" applyFont="1" applyFill="1"/>
    <xf numFmtId="0" fontId="13" fillId="0" borderId="0" xfId="6" applyFont="1" applyFill="1"/>
    <xf numFmtId="0" fontId="13" fillId="0" borderId="7" xfId="6" applyFont="1" applyFill="1" applyBorder="1"/>
    <xf numFmtId="6" fontId="13" fillId="0" borderId="8" xfId="6" applyNumberFormat="1" applyFont="1" applyFill="1" applyBorder="1"/>
    <xf numFmtId="49" fontId="13" fillId="0" borderId="9" xfId="6" applyNumberFormat="1" applyFont="1" applyFill="1" applyBorder="1"/>
    <xf numFmtId="0" fontId="13" fillId="0" borderId="9" xfId="6" applyFont="1" applyFill="1" applyBorder="1"/>
    <xf numFmtId="0" fontId="13" fillId="0" borderId="10" xfId="6" applyFont="1" applyFill="1" applyBorder="1"/>
    <xf numFmtId="0" fontId="13" fillId="0" borderId="11" xfId="6" applyFont="1" applyFill="1" applyBorder="1"/>
    <xf numFmtId="165" fontId="13" fillId="0" borderId="11" xfId="6" applyNumberFormat="1" applyFont="1" applyFill="1" applyBorder="1"/>
    <xf numFmtId="0" fontId="5" fillId="0" borderId="0" xfId="6" applyFill="1"/>
    <xf numFmtId="0" fontId="27" fillId="0" borderId="0" xfId="0" applyFont="1" applyFill="1" applyAlignment="1"/>
    <xf numFmtId="187" fontId="27" fillId="0" borderId="0" xfId="0" applyNumberFormat="1" applyFont="1" applyFill="1" applyAlignment="1"/>
    <xf numFmtId="0" fontId="27" fillId="0" borderId="0" xfId="0" applyFont="1" applyFill="1"/>
    <xf numFmtId="187" fontId="8" fillId="0" borderId="0" xfId="0" applyNumberFormat="1" applyFont="1" applyFill="1" applyAlignment="1"/>
    <xf numFmtId="0" fontId="13" fillId="0" borderId="0" xfId="0" applyFont="1" applyFill="1" applyAlignment="1">
      <alignment horizontal="center" wrapText="1"/>
    </xf>
    <xf numFmtId="0" fontId="13" fillId="0" borderId="0" xfId="0" applyFont="1" applyFill="1" applyAlignment="1">
      <alignment horizontal="center" vertical="center" wrapText="1"/>
    </xf>
    <xf numFmtId="9" fontId="13" fillId="0" borderId="0" xfId="0" applyNumberFormat="1" applyFont="1" applyFill="1" applyAlignment="1">
      <alignment horizontal="center" vertical="center" wrapText="1"/>
    </xf>
    <xf numFmtId="0" fontId="0" fillId="0" borderId="0" xfId="0" applyFill="1" applyAlignment="1">
      <alignment horizontal="right"/>
    </xf>
    <xf numFmtId="169" fontId="13" fillId="0" borderId="0" xfId="4" applyNumberFormat="1" applyFont="1" applyFill="1" applyAlignment="1">
      <alignment horizontal="center"/>
    </xf>
    <xf numFmtId="9" fontId="3" fillId="0" borderId="0" xfId="4" applyNumberFormat="1" applyFont="1" applyFill="1" applyAlignment="1">
      <alignment horizontal="center"/>
    </xf>
    <xf numFmtId="169" fontId="3" fillId="0" borderId="0" xfId="4" applyNumberFormat="1" applyFont="1" applyFill="1" applyAlignment="1">
      <alignment horizontal="center"/>
    </xf>
    <xf numFmtId="0" fontId="8" fillId="0" borderId="0" xfId="0" applyFont="1" applyFill="1" applyAlignment="1">
      <alignment horizontal="right"/>
    </xf>
    <xf numFmtId="9" fontId="0" fillId="0" borderId="0" xfId="4" applyNumberFormat="1" applyFont="1" applyFill="1"/>
    <xf numFmtId="9" fontId="13" fillId="0" borderId="0" xfId="4" applyNumberFormat="1" applyFont="1" applyFill="1"/>
    <xf numFmtId="9" fontId="13" fillId="0" borderId="0" xfId="4" applyNumberFormat="1" applyFont="1" applyFill="1" applyAlignment="1">
      <alignment horizontal="center"/>
    </xf>
    <xf numFmtId="169" fontId="0" fillId="0" borderId="0" xfId="4" applyNumberFormat="1" applyFont="1" applyFill="1" applyAlignment="1">
      <alignment horizontal="center"/>
    </xf>
    <xf numFmtId="9" fontId="13" fillId="0" borderId="0" xfId="4" applyFont="1" applyFill="1" applyAlignment="1">
      <alignment horizontal="center"/>
    </xf>
    <xf numFmtId="9" fontId="0" fillId="0" borderId="0" xfId="4" applyNumberFormat="1" applyFont="1" applyFill="1" applyAlignment="1">
      <alignment horizontal="center"/>
    </xf>
    <xf numFmtId="169" fontId="0" fillId="0" borderId="0" xfId="4" applyNumberFormat="1" applyFont="1" applyFill="1" applyAlignment="1"/>
    <xf numFmtId="0" fontId="8" fillId="0" borderId="0" xfId="0" applyFont="1" applyAlignment="1">
      <alignment wrapText="1"/>
    </xf>
    <xf numFmtId="0" fontId="27" fillId="0" borderId="0" xfId="0" applyFont="1" applyAlignment="1">
      <alignment horizontal="center"/>
    </xf>
    <xf numFmtId="0" fontId="8" fillId="0" borderId="0" xfId="0" applyFont="1" applyFill="1" applyAlignment="1">
      <alignment horizontal="center"/>
    </xf>
    <xf numFmtId="0" fontId="0" fillId="0" borderId="0" xfId="0" applyFont="1" applyAlignment="1">
      <alignment horizontal="center" wrapText="1"/>
    </xf>
    <xf numFmtId="0" fontId="0" fillId="0" borderId="0" xfId="0" applyFont="1" applyAlignment="1"/>
    <xf numFmtId="0" fontId="8" fillId="0" borderId="0" xfId="0" applyFont="1" applyBorder="1" applyAlignment="1">
      <alignment horizontal="center" wrapText="1"/>
    </xf>
    <xf numFmtId="0" fontId="8" fillId="0" borderId="7" xfId="0" applyFont="1" applyBorder="1" applyAlignment="1">
      <alignment horizontal="center" wrapText="1"/>
    </xf>
    <xf numFmtId="0" fontId="8" fillId="0" borderId="6" xfId="0" applyFont="1" applyBorder="1" applyAlignment="1">
      <alignment horizontal="center" wrapText="1"/>
    </xf>
    <xf numFmtId="0" fontId="8" fillId="0" borderId="0" xfId="0" applyFont="1" applyAlignment="1">
      <alignment horizontal="center" wrapText="1"/>
    </xf>
    <xf numFmtId="0" fontId="0" fillId="0" borderId="0" xfId="0" applyFill="1" applyAlignment="1">
      <alignment horizontal="left" wrapText="1"/>
    </xf>
    <xf numFmtId="0" fontId="13" fillId="0" borderId="0" xfId="0" applyFont="1" applyFill="1" applyAlignment="1">
      <alignment horizontal="center" vertical="center" wrapText="1"/>
    </xf>
    <xf numFmtId="0" fontId="13" fillId="0" borderId="13" xfId="0" applyFont="1" applyFill="1" applyBorder="1" applyAlignment="1">
      <alignment horizontal="center" wrapText="1"/>
    </xf>
    <xf numFmtId="0" fontId="0" fillId="0" borderId="0" xfId="0" applyFont="1" applyAlignment="1">
      <alignment horizontal="center"/>
    </xf>
    <xf numFmtId="0" fontId="23" fillId="4" borderId="9" xfId="0" applyFont="1" applyFill="1" applyBorder="1" applyAlignment="1">
      <alignment horizontal="left" vertical="center" wrapText="1"/>
    </xf>
    <xf numFmtId="0" fontId="26" fillId="0" borderId="4" xfId="0" applyFont="1" applyBorder="1" applyAlignment="1">
      <alignment horizontal="left"/>
    </xf>
    <xf numFmtId="0" fontId="98" fillId="0" borderId="0" xfId="0" applyFont="1" applyAlignment="1">
      <alignment horizontal="center"/>
    </xf>
    <xf numFmtId="0" fontId="46" fillId="3" borderId="13" xfId="0" applyFont="1" applyFill="1" applyBorder="1" applyAlignment="1">
      <alignment horizontal="center"/>
    </xf>
    <xf numFmtId="0" fontId="48" fillId="3" borderId="13" xfId="0" applyFont="1" applyFill="1" applyBorder="1" applyAlignment="1">
      <alignment horizontal="center"/>
    </xf>
    <xf numFmtId="0" fontId="47" fillId="3" borderId="13" xfId="0" applyFont="1" applyFill="1" applyBorder="1" applyAlignment="1">
      <alignment horizontal="center"/>
    </xf>
    <xf numFmtId="0" fontId="46" fillId="3" borderId="0" xfId="0" applyFont="1" applyFill="1" applyAlignment="1">
      <alignment horizontal="center"/>
    </xf>
    <xf numFmtId="2" fontId="48" fillId="3" borderId="13" xfId="0" applyNumberFormat="1" applyFont="1" applyFill="1" applyBorder="1" applyAlignment="1">
      <alignment horizontal="center" shrinkToFit="1"/>
    </xf>
    <xf numFmtId="0" fontId="45" fillId="3" borderId="0" xfId="0" applyFont="1" applyFill="1" applyBorder="1" applyAlignment="1">
      <alignment horizontal="left" wrapText="1"/>
    </xf>
    <xf numFmtId="0" fontId="45" fillId="3" borderId="7" xfId="0" applyFont="1" applyFill="1" applyBorder="1" applyAlignment="1">
      <alignment horizontal="left" wrapText="1"/>
    </xf>
    <xf numFmtId="0" fontId="48" fillId="3" borderId="13" xfId="0" applyFont="1" applyFill="1" applyBorder="1" applyAlignment="1">
      <alignment horizontal="center" wrapText="1"/>
    </xf>
    <xf numFmtId="0" fontId="32" fillId="5" borderId="0" xfId="0" applyFont="1" applyFill="1" applyAlignment="1">
      <alignment vertical="center" wrapText="1"/>
    </xf>
    <xf numFmtId="0" fontId="29" fillId="5" borderId="0" xfId="0" applyFont="1" applyFill="1" applyAlignment="1">
      <alignment horizontal="center" wrapText="1"/>
    </xf>
    <xf numFmtId="0" fontId="30" fillId="5" borderId="0" xfId="0" applyFont="1" applyFill="1" applyAlignment="1">
      <alignment horizontal="center" wrapText="1"/>
    </xf>
    <xf numFmtId="0" fontId="31" fillId="6" borderId="0" xfId="0" applyFont="1" applyFill="1" applyAlignment="1">
      <alignment horizontal="center" vertical="center" wrapText="1"/>
    </xf>
    <xf numFmtId="0" fontId="11" fillId="0" borderId="0" xfId="0" applyFont="1" applyAlignment="1">
      <alignment horizontal="center" vertical="center" wrapText="1"/>
    </xf>
    <xf numFmtId="0" fontId="8" fillId="0" borderId="6" xfId="0" applyFont="1" applyBorder="1" applyAlignment="1">
      <alignment wrapText="1"/>
    </xf>
    <xf numFmtId="0" fontId="0" fillId="0" borderId="11" xfId="0" applyFont="1" applyBorder="1" applyAlignment="1">
      <alignment horizontal="center"/>
    </xf>
    <xf numFmtId="0" fontId="12" fillId="0" borderId="11" xfId="1" applyBorder="1" applyAlignment="1">
      <alignment horizontal="center" vertical="center" wrapText="1"/>
    </xf>
    <xf numFmtId="0" fontId="8" fillId="0" borderId="11" xfId="0" applyFont="1" applyBorder="1" applyAlignment="1">
      <alignment vertical="center" wrapText="1"/>
    </xf>
    <xf numFmtId="0" fontId="0" fillId="0" borderId="11" xfId="0" applyFont="1" applyBorder="1" applyAlignment="1">
      <alignment vertical="center" wrapText="1"/>
    </xf>
    <xf numFmtId="0" fontId="8"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8" fillId="0" borderId="11" xfId="0" applyFont="1" applyBorder="1" applyAlignment="1">
      <alignment wrapText="1"/>
    </xf>
    <xf numFmtId="0" fontId="0" fillId="0" borderId="11" xfId="0" applyFont="1" applyBorder="1" applyAlignment="1">
      <alignment horizontal="center" wrapText="1"/>
    </xf>
    <xf numFmtId="0" fontId="0" fillId="0" borderId="11" xfId="0" applyFont="1" applyBorder="1" applyAlignment="1">
      <alignment wrapText="1"/>
    </xf>
    <xf numFmtId="0" fontId="12" fillId="0" borderId="18" xfId="1" applyBorder="1" applyAlignment="1">
      <alignment vertical="center" wrapText="1"/>
    </xf>
    <xf numFmtId="0" fontId="12" fillId="0" borderId="19" xfId="1" applyBorder="1" applyAlignment="1">
      <alignment vertical="center" wrapText="1"/>
    </xf>
  </cellXfs>
  <cellStyles count="21">
    <cellStyle name="Comma" xfId="2" builtinId="3"/>
    <cellStyle name="Currency" xfId="3" builtinId="4"/>
    <cellStyle name="Currency 2" xfId="20"/>
    <cellStyle name="Hyperlink" xfId="1" builtinId="8"/>
    <cellStyle name="Normal" xfId="0" builtinId="0"/>
    <cellStyle name="Normal 2" xfId="5"/>
    <cellStyle name="Normal 2 2" xfId="12"/>
    <cellStyle name="Normal 2 3" xfId="13"/>
    <cellStyle name="Normal 2 4" xfId="11"/>
    <cellStyle name="Normal 3" xfId="6"/>
    <cellStyle name="Normal 3 2" xfId="15"/>
    <cellStyle name="Normal 3 3" xfId="14"/>
    <cellStyle name="Normal 4" xfId="10"/>
    <cellStyle name="Normal 4 2" xfId="17"/>
    <cellStyle name="Normal 4 3" xfId="16"/>
    <cellStyle name="Normal 5" xfId="18"/>
    <cellStyle name="Normal 6" xfId="19"/>
    <cellStyle name="Normal_NC Sales Tax Swap for Dan 2 01" xfId="8"/>
    <cellStyle name="Percent" xfId="4" builtinId="5"/>
    <cellStyle name="Percent 2" xfId="7"/>
    <cellStyle name="Percent_Results template" xfId="9"/>
  </cellStyles>
  <dxfs count="0"/>
  <tableStyles count="0" defaultTableStyle="TableStyleMedium2" defaultPivotStyle="PivotStyleLight16"/>
  <colors>
    <mruColors>
      <color rgb="FF972421"/>
      <color rgb="FF9FB8DB"/>
      <color rgb="FF2F5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2300" b="1">
                <a:solidFill>
                  <a:srgbClr val="972421"/>
                </a:solidFill>
              </a:rPr>
              <a:t>Oklahoma's investment in state services is shrinking</a:t>
            </a:r>
          </a:p>
        </c:rich>
      </c:tx>
      <c:layout>
        <c:manualLayout>
          <c:xMode val="edge"/>
          <c:yMode val="edge"/>
          <c:x val="8.9843835745883368E-4"/>
          <c:y val="0"/>
        </c:manualLayout>
      </c:layout>
      <c:overlay val="0"/>
    </c:title>
    <c:autoTitleDeleted val="0"/>
    <c:plotArea>
      <c:layout>
        <c:manualLayout>
          <c:layoutTarget val="inner"/>
          <c:xMode val="edge"/>
          <c:yMode val="edge"/>
          <c:x val="5.6484267591551056E-2"/>
          <c:y val="0.14484418917828373"/>
          <c:w val="0.93260303399575051"/>
          <c:h val="0.63892859096164512"/>
        </c:manualLayout>
      </c:layout>
      <c:barChart>
        <c:barDir val="col"/>
        <c:grouping val="clustered"/>
        <c:varyColors val="0"/>
        <c:ser>
          <c:idx val="0"/>
          <c:order val="0"/>
          <c:tx>
            <c:strRef>
              <c:f>'2'!$E$5</c:f>
              <c:strCache>
                <c:ptCount val="1"/>
                <c:pt idx="0">
                  <c:v>Budget adjusted to 2021 $ and population</c:v>
                </c:pt>
              </c:strCache>
            </c:strRef>
          </c:tx>
          <c:spPr>
            <a:solidFill>
              <a:srgbClr val="2F507F"/>
            </a:solidFill>
          </c:spPr>
          <c:invertIfNegative val="0"/>
          <c:dLbls>
            <c:dLbl>
              <c:idx val="0"/>
              <c:layout>
                <c:manualLayout>
                  <c:x val="-1.0323338336765504E-3"/>
                  <c:y val="7.3525546480071296E-3"/>
                </c:manualLayout>
              </c:layout>
              <c:numFmt formatCode="&quot;$&quot;#,##0" sourceLinked="0"/>
              <c:spPr>
                <a:solidFill>
                  <a:srgbClr val="FFFFFF"/>
                </a:solidFill>
              </c:spPr>
              <c:txPr>
                <a:bodyPr wrap="square" lIns="38100" tIns="19050" rIns="38100" bIns="19050" anchor="ctr">
                  <a:spAutoFit/>
                </a:bodyPr>
                <a:lstStyle/>
                <a:p>
                  <a:pPr>
                    <a:defRPr sz="800">
                      <a:solidFill>
                        <a:schemeClr val="tx1">
                          <a:lumMod val="75000"/>
                          <a:lumOff val="2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B6-46FA-BCDA-A8ADE534E655}"/>
                </c:ext>
              </c:extLst>
            </c:dLbl>
            <c:dLbl>
              <c:idx val="1"/>
              <c:layout>
                <c:manualLayout>
                  <c:x val="3.0970015010296512E-3"/>
                  <c:y val="-7.3525546480071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B6-46FA-BCDA-A8ADE534E655}"/>
                </c:ext>
              </c:extLst>
            </c:dLbl>
            <c:dLbl>
              <c:idx val="4"/>
              <c:layout>
                <c:manualLayout>
                  <c:x val="-2.95171837073977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7F-494E-811B-DF48F8BD1D64}"/>
                </c:ext>
              </c:extLst>
            </c:dLbl>
            <c:dLbl>
              <c:idx val="6"/>
              <c:layout>
                <c:manualLayout>
                  <c:x val="-2.9517183707397786E-3"/>
                  <c:y val="-4.420281631588202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7F-494E-811B-DF48F8BD1D64}"/>
                </c:ext>
              </c:extLst>
            </c:dLbl>
            <c:dLbl>
              <c:idx val="7"/>
              <c:layout>
                <c:manualLayout>
                  <c:x val="0"/>
                  <c:y val="-7.3525546480071834E-3"/>
                </c:manualLayout>
              </c:layout>
              <c:numFmt formatCode="&quot;$&quot;#,##0" sourceLinked="0"/>
              <c:spPr>
                <a:noFill/>
              </c:spPr>
              <c:txPr>
                <a:bodyPr wrap="square" lIns="38100" tIns="19050" rIns="38100" bIns="19050" anchor="ctr">
                  <a:spAutoFit/>
                </a:bodyPr>
                <a:lstStyle/>
                <a:p>
                  <a:pPr>
                    <a:defRPr sz="800">
                      <a:solidFill>
                        <a:schemeClr val="tx1">
                          <a:lumMod val="75000"/>
                          <a:lumOff val="2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B6-46FA-BCDA-A8ADE534E655}"/>
                </c:ext>
              </c:extLst>
            </c:dLbl>
            <c:dLbl>
              <c:idx val="8"/>
              <c:numFmt formatCode="&quot;$&quot;#,##0" sourceLinked="0"/>
              <c:spPr>
                <a:noFill/>
              </c:spPr>
              <c:txPr>
                <a:bodyPr wrap="square" lIns="38100" tIns="19050" rIns="38100" bIns="19050" anchor="ctr">
                  <a:spAutoFit/>
                </a:bodyPr>
                <a:lstStyle/>
                <a:p>
                  <a:pPr>
                    <a:defRPr sz="800">
                      <a:solidFill>
                        <a:schemeClr val="tx1">
                          <a:lumMod val="75000"/>
                          <a:lumOff val="25000"/>
                        </a:schemeClr>
                      </a:solidFill>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A97F-494E-811B-DF48F8BD1D64}"/>
                </c:ext>
              </c:extLst>
            </c:dLbl>
            <c:dLbl>
              <c:idx val="10"/>
              <c:layout>
                <c:manualLayout>
                  <c:x val="0"/>
                  <c:y val="2.41109056094116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7F-494E-811B-DF48F8BD1D64}"/>
                </c:ext>
              </c:extLst>
            </c:dLbl>
            <c:numFmt formatCode="&quot;$&quot;#,##0" sourceLinked="0"/>
            <c:spPr>
              <a:solidFill>
                <a:schemeClr val="bg1"/>
              </a:solidFill>
            </c:spPr>
            <c:txPr>
              <a:bodyPr wrap="square" lIns="38100" tIns="19050" rIns="38100" bIns="19050" anchor="ctr">
                <a:spAutoFit/>
              </a:bodyPr>
              <a:lstStyle/>
              <a:p>
                <a:pPr>
                  <a:defRPr sz="800">
                    <a:solidFill>
                      <a:schemeClr val="tx1">
                        <a:lumMod val="75000"/>
                        <a:lumOff val="2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'2'!$A$6:$A$29</c:f>
              <c:strCache>
                <c:ptCount val="24"/>
                <c:pt idx="0">
                  <c:v>FY '00</c:v>
                </c:pt>
                <c:pt idx="1">
                  <c:v>FY '01</c:v>
                </c:pt>
                <c:pt idx="2">
                  <c:v>FY '02</c:v>
                </c:pt>
                <c:pt idx="3">
                  <c:v>FY '03</c:v>
                </c:pt>
                <c:pt idx="4">
                  <c:v>FY '04</c:v>
                </c:pt>
                <c:pt idx="5">
                  <c:v>FY '05</c:v>
                </c:pt>
                <c:pt idx="6">
                  <c:v>FY '06</c:v>
                </c:pt>
                <c:pt idx="7">
                  <c:v>FY '07</c:v>
                </c:pt>
                <c:pt idx="8">
                  <c:v>FY '08</c:v>
                </c:pt>
                <c:pt idx="9">
                  <c:v>FY '09</c:v>
                </c:pt>
                <c:pt idx="10">
                  <c:v>FY '10 </c:v>
                </c:pt>
                <c:pt idx="11">
                  <c:v>FY '11</c:v>
                </c:pt>
                <c:pt idx="12">
                  <c:v>FY '12 </c:v>
                </c:pt>
                <c:pt idx="13">
                  <c:v>FY '13 </c:v>
                </c:pt>
                <c:pt idx="14">
                  <c:v>FY '14</c:v>
                </c:pt>
                <c:pt idx="15">
                  <c:v>FY '15</c:v>
                </c:pt>
                <c:pt idx="16">
                  <c:v>FY '16 </c:v>
                </c:pt>
                <c:pt idx="17">
                  <c:v>FY '17</c:v>
                </c:pt>
                <c:pt idx="18">
                  <c:v>FY '18</c:v>
                </c:pt>
                <c:pt idx="19">
                  <c:v>FY '19</c:v>
                </c:pt>
                <c:pt idx="20">
                  <c:v>FY '20</c:v>
                </c:pt>
                <c:pt idx="21">
                  <c:v>FY '21 initial</c:v>
                </c:pt>
                <c:pt idx="22">
                  <c:v>FY '21 final</c:v>
                </c:pt>
                <c:pt idx="23">
                  <c:v>FY '22 initial</c:v>
                </c:pt>
              </c:strCache>
            </c:strRef>
          </c:cat>
          <c:val>
            <c:numRef>
              <c:f>'2'!$E$6:$E$29</c:f>
              <c:numCache>
                <c:formatCode>_("$"* #,##0_);_("$"* \(#,##0\);_("$"* "-"??_);_(@_)</c:formatCode>
                <c:ptCount val="24"/>
                <c:pt idx="0">
                  <c:v>11250.304829376002</c:v>
                </c:pt>
                <c:pt idx="1">
                  <c:v>11540.94753929139</c:v>
                </c:pt>
                <c:pt idx="2">
                  <c:v>11169.958019315316</c:v>
                </c:pt>
                <c:pt idx="3">
                  <c:v>10359.417699695514</c:v>
                </c:pt>
                <c:pt idx="4">
                  <c:v>9825.6088247638399</c:v>
                </c:pt>
                <c:pt idx="5">
                  <c:v>10074.655792176676</c:v>
                </c:pt>
                <c:pt idx="6">
                  <c:v>10708.524582258669</c:v>
                </c:pt>
                <c:pt idx="7">
                  <c:v>10934.765076347438</c:v>
                </c:pt>
                <c:pt idx="8">
                  <c:v>10686.354214235846</c:v>
                </c:pt>
                <c:pt idx="9">
                  <c:v>10130.328536031342</c:v>
                </c:pt>
                <c:pt idx="10">
                  <c:v>9757.9231684766</c:v>
                </c:pt>
                <c:pt idx="11">
                  <c:v>9184.1040627770381</c:v>
                </c:pt>
                <c:pt idx="12">
                  <c:v>8627.8505898811745</c:v>
                </c:pt>
                <c:pt idx="13">
                  <c:v>8654.1039411860129</c:v>
                </c:pt>
                <c:pt idx="14">
                  <c:v>8745.5156863844604</c:v>
                </c:pt>
                <c:pt idx="15">
                  <c:v>8491.6152422317336</c:v>
                </c:pt>
                <c:pt idx="16">
                  <c:v>8154.3830070229251</c:v>
                </c:pt>
                <c:pt idx="17">
                  <c:v>8069.9403680694395</c:v>
                </c:pt>
                <c:pt idx="18">
                  <c:v>7928.7496290052986</c:v>
                </c:pt>
                <c:pt idx="19">
                  <c:v>8399.3313140461578</c:v>
                </c:pt>
                <c:pt idx="20">
                  <c:v>8640.1162002520632</c:v>
                </c:pt>
                <c:pt idx="21">
                  <c:v>7970.8832286277093</c:v>
                </c:pt>
                <c:pt idx="22">
                  <c:v>8212.345197378685</c:v>
                </c:pt>
                <c:pt idx="23">
                  <c:v>8831.0257440000023</c:v>
                </c:pt>
              </c:numCache>
            </c:numRef>
          </c:val>
          <c:extLst>
            <c:ext xmlns:c16="http://schemas.microsoft.com/office/drawing/2014/chart" uri="{C3380CC4-5D6E-409C-BE32-E72D297353CC}">
              <c16:uniqueId val="{00000000-7F5E-422C-8A18-EC03A2D9A3D7}"/>
            </c:ext>
          </c:extLst>
        </c:ser>
        <c:dLbls>
          <c:showLegendKey val="0"/>
          <c:showVal val="0"/>
          <c:showCatName val="0"/>
          <c:showSerName val="0"/>
          <c:showPercent val="0"/>
          <c:showBubbleSize val="0"/>
        </c:dLbls>
        <c:gapWidth val="40"/>
        <c:axId val="-482520096"/>
        <c:axId val="-482523360"/>
      </c:barChart>
      <c:catAx>
        <c:axId val="-482520096"/>
        <c:scaling>
          <c:orientation val="minMax"/>
        </c:scaling>
        <c:delete val="0"/>
        <c:axPos val="b"/>
        <c:numFmt formatCode="General" sourceLinked="0"/>
        <c:majorTickMark val="out"/>
        <c:minorTickMark val="none"/>
        <c:tickLblPos val="nextTo"/>
        <c:spPr>
          <a:ln>
            <a:solidFill>
              <a:srgbClr val="FFFFFF">
                <a:lumMod val="75000"/>
              </a:srgbClr>
            </a:solidFill>
          </a:ln>
        </c:spPr>
        <c:txPr>
          <a:bodyPr/>
          <a:lstStyle/>
          <a:p>
            <a:pPr>
              <a:defRPr sz="1100">
                <a:solidFill>
                  <a:schemeClr val="tx1">
                    <a:lumMod val="75000"/>
                    <a:lumOff val="25000"/>
                  </a:schemeClr>
                </a:solidFill>
              </a:defRPr>
            </a:pPr>
            <a:endParaRPr lang="en-US"/>
          </a:p>
        </c:txPr>
        <c:crossAx val="-482523360"/>
        <c:crosses val="autoZero"/>
        <c:auto val="1"/>
        <c:lblAlgn val="ctr"/>
        <c:lblOffset val="100"/>
        <c:noMultiLvlLbl val="0"/>
      </c:catAx>
      <c:valAx>
        <c:axId val="-482523360"/>
        <c:scaling>
          <c:orientation val="minMax"/>
          <c:min val="0"/>
        </c:scaling>
        <c:delete val="0"/>
        <c:axPos val="l"/>
        <c:majorGridlines>
          <c:spPr>
            <a:ln>
              <a:solidFill>
                <a:srgbClr val="FFFFFF">
                  <a:lumMod val="75000"/>
                </a:srgbClr>
              </a:solidFill>
            </a:ln>
          </c:spPr>
        </c:majorGridlines>
        <c:numFmt formatCode="&quot;$&quot;#,##0" sourceLinked="0"/>
        <c:majorTickMark val="out"/>
        <c:minorTickMark val="none"/>
        <c:tickLblPos val="nextTo"/>
        <c:spPr>
          <a:ln>
            <a:solidFill>
              <a:srgbClr val="FFFFFF">
                <a:lumMod val="75000"/>
              </a:srgbClr>
            </a:solidFill>
          </a:ln>
        </c:spPr>
        <c:txPr>
          <a:bodyPr/>
          <a:lstStyle/>
          <a:p>
            <a:pPr>
              <a:defRPr>
                <a:solidFill>
                  <a:schemeClr val="tx1">
                    <a:lumMod val="75000"/>
                    <a:lumOff val="25000"/>
                  </a:schemeClr>
                </a:solidFill>
              </a:defRPr>
            </a:pPr>
            <a:endParaRPr lang="en-US"/>
          </a:p>
        </c:txPr>
        <c:crossAx val="-482520096"/>
        <c:crosses val="autoZero"/>
        <c:crossBetween val="between"/>
      </c:valAx>
      <c:spPr>
        <a:noFill/>
        <a:ln>
          <a:noFill/>
        </a:ln>
      </c:spPr>
    </c:plotArea>
    <c:plotVisOnly val="1"/>
    <c:dispBlanksAs val="gap"/>
    <c:showDLblsOverMax val="0"/>
  </c:chart>
  <c:spPr>
    <a:solidFill>
      <a:srgbClr val="FFFFFF"/>
    </a:solidFill>
    <a:ln>
      <a:noFill/>
    </a:ln>
  </c:spPr>
  <c:txPr>
    <a:bodyPr/>
    <a:lstStyle/>
    <a:p>
      <a:pPr>
        <a:defRPr sz="1200" b="0">
          <a:latin typeface="Myriad Pro" pitchFamily="34" charset="0"/>
        </a:defRPr>
      </a:pPr>
      <a:endParaRPr lang="en-US"/>
    </a:p>
  </c:txPr>
  <c:printSettings>
    <c:headerFooter/>
    <c:pageMargins b="0.75" l="0.7" r="0.7" t="0.75" header="0.3" footer="0.3"/>
    <c:pageSetup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82977127859019E-2"/>
          <c:y val="0.18675044619422573"/>
          <c:w val="0.88766464191976002"/>
          <c:h val="0.57763485564304462"/>
        </c:manualLayout>
      </c:layout>
      <c:barChart>
        <c:barDir val="col"/>
        <c:grouping val="stacked"/>
        <c:varyColors val="0"/>
        <c:ser>
          <c:idx val="0"/>
          <c:order val="0"/>
          <c:tx>
            <c:strRef>
              <c:f>'14'!$H$5</c:f>
              <c:strCache>
                <c:ptCount val="1"/>
                <c:pt idx="0">
                  <c:v>Sales</c:v>
                </c:pt>
              </c:strCache>
            </c:strRef>
          </c:tx>
          <c:spPr>
            <a:solidFill>
              <a:srgbClr val="2F50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('14'!$B$8:$B$13,'14'!$B$15)</c:f>
              <c:strCache>
                <c:ptCount val="7"/>
                <c:pt idx="0">
                  <c:v>ALL</c:v>
                </c:pt>
                <c:pt idx="1">
                  <c:v>White</c:v>
                </c:pt>
                <c:pt idx="2">
                  <c:v>Latinx</c:v>
                </c:pt>
                <c:pt idx="3">
                  <c:v>Black</c:v>
                </c:pt>
                <c:pt idx="4">
                  <c:v>Asian</c:v>
                </c:pt>
                <c:pt idx="5">
                  <c:v>Am. Indian / Alaska Native</c:v>
                </c:pt>
                <c:pt idx="6">
                  <c:v>Multiple Races</c:v>
                </c:pt>
              </c:strCache>
            </c:strRef>
          </c:cat>
          <c:val>
            <c:numRef>
              <c:f>('14'!$H$8:$H$13,'14'!$H$15)</c:f>
              <c:numCache>
                <c:formatCode>0.0%</c:formatCode>
                <c:ptCount val="7"/>
                <c:pt idx="0">
                  <c:v>4.1000000000000002E-2</c:v>
                </c:pt>
                <c:pt idx="1">
                  <c:v>0.04</c:v>
                </c:pt>
                <c:pt idx="2">
                  <c:v>4.7E-2</c:v>
                </c:pt>
                <c:pt idx="3">
                  <c:v>5.0999999999999997E-2</c:v>
                </c:pt>
                <c:pt idx="4">
                  <c:v>3.6999999999999998E-2</c:v>
                </c:pt>
                <c:pt idx="5">
                  <c:v>4.8000000000000001E-2</c:v>
                </c:pt>
                <c:pt idx="6">
                  <c:v>4.4999999999999998E-2</c:v>
                </c:pt>
              </c:numCache>
            </c:numRef>
          </c:val>
          <c:extLst>
            <c:ext xmlns:c16="http://schemas.microsoft.com/office/drawing/2014/chart" uri="{C3380CC4-5D6E-409C-BE32-E72D297353CC}">
              <c16:uniqueId val="{00000000-1EBE-4122-A35C-1C19A0BF4FE4}"/>
            </c:ext>
          </c:extLst>
        </c:ser>
        <c:ser>
          <c:idx val="1"/>
          <c:order val="1"/>
          <c:tx>
            <c:strRef>
              <c:f>'14'!$L$5</c:f>
              <c:strCache>
                <c:ptCount val="1"/>
                <c:pt idx="0">
                  <c:v>Property</c:v>
                </c:pt>
              </c:strCache>
            </c:strRef>
          </c:tx>
          <c:spPr>
            <a:solidFill>
              <a:srgbClr val="9FB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('14'!$B$8:$B$13,'14'!$B$15)</c:f>
              <c:strCache>
                <c:ptCount val="7"/>
                <c:pt idx="0">
                  <c:v>ALL</c:v>
                </c:pt>
                <c:pt idx="1">
                  <c:v>White</c:v>
                </c:pt>
                <c:pt idx="2">
                  <c:v>Latinx</c:v>
                </c:pt>
                <c:pt idx="3">
                  <c:v>Black</c:v>
                </c:pt>
                <c:pt idx="4">
                  <c:v>Asian</c:v>
                </c:pt>
                <c:pt idx="5">
                  <c:v>Am. Indian / Alaska Native</c:v>
                </c:pt>
                <c:pt idx="6">
                  <c:v>Multiple Races</c:v>
                </c:pt>
              </c:strCache>
            </c:strRef>
          </c:cat>
          <c:val>
            <c:numRef>
              <c:f>('14'!$L$8:$L$13,'14'!$L$15)</c:f>
              <c:numCache>
                <c:formatCode>0.0%</c:formatCode>
                <c:ptCount val="7"/>
                <c:pt idx="0">
                  <c:v>1.9E-2</c:v>
                </c:pt>
                <c:pt idx="1">
                  <c:v>1.9E-2</c:v>
                </c:pt>
                <c:pt idx="2">
                  <c:v>1.7000000000000001E-2</c:v>
                </c:pt>
                <c:pt idx="3">
                  <c:v>1.7999999999999999E-2</c:v>
                </c:pt>
                <c:pt idx="4">
                  <c:v>2.3E-2</c:v>
                </c:pt>
                <c:pt idx="5">
                  <c:v>1.6E-2</c:v>
                </c:pt>
                <c:pt idx="6">
                  <c:v>1.7999999999999999E-2</c:v>
                </c:pt>
              </c:numCache>
            </c:numRef>
          </c:val>
          <c:extLst>
            <c:ext xmlns:c16="http://schemas.microsoft.com/office/drawing/2014/chart" uri="{C3380CC4-5D6E-409C-BE32-E72D297353CC}">
              <c16:uniqueId val="{00000001-1EBE-4122-A35C-1C19A0BF4FE4}"/>
            </c:ext>
          </c:extLst>
        </c:ser>
        <c:ser>
          <c:idx val="2"/>
          <c:order val="2"/>
          <c:tx>
            <c:strRef>
              <c:f>'14'!$P$5</c:f>
              <c:strCache>
                <c:ptCount val="1"/>
                <c:pt idx="0">
                  <c:v>Income</c:v>
                </c:pt>
              </c:strCache>
            </c:strRef>
          </c:tx>
          <c:spPr>
            <a:solidFill>
              <a:schemeClr val="bg2">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('14'!$B$8:$B$13,'14'!$B$15)</c:f>
              <c:strCache>
                <c:ptCount val="7"/>
                <c:pt idx="0">
                  <c:v>ALL</c:v>
                </c:pt>
                <c:pt idx="1">
                  <c:v>White</c:v>
                </c:pt>
                <c:pt idx="2">
                  <c:v>Latinx</c:v>
                </c:pt>
                <c:pt idx="3">
                  <c:v>Black</c:v>
                </c:pt>
                <c:pt idx="4">
                  <c:v>Asian</c:v>
                </c:pt>
                <c:pt idx="5">
                  <c:v>Am. Indian / Alaska Native</c:v>
                </c:pt>
                <c:pt idx="6">
                  <c:v>Multiple Races</c:v>
                </c:pt>
              </c:strCache>
            </c:strRef>
          </c:cat>
          <c:val>
            <c:numRef>
              <c:f>('14'!$P$8:$P$13,'14'!$P$15)</c:f>
              <c:numCache>
                <c:formatCode>0.0%</c:formatCode>
                <c:ptCount val="7"/>
                <c:pt idx="0">
                  <c:v>2.8000000000000001E-2</c:v>
                </c:pt>
                <c:pt idx="1">
                  <c:v>2.9000000000000001E-2</c:v>
                </c:pt>
                <c:pt idx="2">
                  <c:v>2.4E-2</c:v>
                </c:pt>
                <c:pt idx="3">
                  <c:v>2.5000000000000001E-2</c:v>
                </c:pt>
                <c:pt idx="4">
                  <c:v>2.9000000000000001E-2</c:v>
                </c:pt>
                <c:pt idx="5">
                  <c:v>2.5999999999999999E-2</c:v>
                </c:pt>
                <c:pt idx="6">
                  <c:v>2.8000000000000001E-2</c:v>
                </c:pt>
              </c:numCache>
            </c:numRef>
          </c:val>
          <c:extLst>
            <c:ext xmlns:c16="http://schemas.microsoft.com/office/drawing/2014/chart" uri="{C3380CC4-5D6E-409C-BE32-E72D297353CC}">
              <c16:uniqueId val="{00000002-1EBE-4122-A35C-1C19A0BF4FE4}"/>
            </c:ext>
          </c:extLst>
        </c:ser>
        <c:dLbls>
          <c:dLblPos val="ctr"/>
          <c:showLegendKey val="0"/>
          <c:showVal val="1"/>
          <c:showCatName val="0"/>
          <c:showSerName val="0"/>
          <c:showPercent val="0"/>
          <c:showBubbleSize val="0"/>
        </c:dLbls>
        <c:gapWidth val="20"/>
        <c:overlap val="100"/>
        <c:axId val="1529973824"/>
        <c:axId val="1529977152"/>
      </c:barChart>
      <c:catAx>
        <c:axId val="152997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1529977152"/>
        <c:crosses val="autoZero"/>
        <c:auto val="1"/>
        <c:lblAlgn val="ctr"/>
        <c:lblOffset val="100"/>
        <c:noMultiLvlLbl val="0"/>
      </c:catAx>
      <c:valAx>
        <c:axId val="1529977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1529973824"/>
        <c:crosses val="autoZero"/>
        <c:crossBetween val="between"/>
      </c:valAx>
      <c:spPr>
        <a:noFill/>
        <a:ln>
          <a:noFill/>
        </a:ln>
        <a:effectLst/>
      </c:spPr>
    </c:plotArea>
    <c:legend>
      <c:legendPos val="t"/>
      <c:layout>
        <c:manualLayout>
          <c:xMode val="edge"/>
          <c:yMode val="edge"/>
          <c:x val="1.8327709036370453E-4"/>
          <c:y val="7.5363079615048123E-2"/>
          <c:w val="0.33151496062992125"/>
          <c:h val="6.00909886264217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000" b="1">
                <a:solidFill>
                  <a:srgbClr val="972421"/>
                </a:solidFill>
              </a:rPr>
              <a:t>Single Oklahomans, especially women, </a:t>
            </a:r>
            <a:br>
              <a:rPr lang="en-US" sz="2000" b="1">
                <a:solidFill>
                  <a:srgbClr val="972421"/>
                </a:solidFill>
              </a:rPr>
            </a:br>
            <a:r>
              <a:rPr lang="en-US" sz="2000" b="1">
                <a:solidFill>
                  <a:srgbClr val="972421"/>
                </a:solidFill>
              </a:rPr>
              <a:t>pay a higher share of Oklahoma taxes</a:t>
            </a:r>
          </a:p>
        </c:rich>
      </c:tx>
      <c:layout>
        <c:manualLayout>
          <c:xMode val="edge"/>
          <c:yMode val="edge"/>
          <c:x val="4.2849643794527634E-4"/>
          <c:y val="0"/>
        </c:manualLayout>
      </c:layout>
      <c:overlay val="0"/>
      <c:spPr>
        <a:noFill/>
        <a:ln>
          <a:noFill/>
        </a:ln>
        <a:effectLst/>
      </c:spPr>
      <c:txPr>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manualLayout>
          <c:layoutTarget val="inner"/>
          <c:xMode val="edge"/>
          <c:yMode val="edge"/>
          <c:x val="9.1382977127859019E-2"/>
          <c:y val="0.28756512102653836"/>
          <c:w val="0.88766464191976002"/>
          <c:h val="0.52416307961504827"/>
        </c:manualLayout>
      </c:layout>
      <c:barChart>
        <c:barDir val="col"/>
        <c:grouping val="stacked"/>
        <c:varyColors val="0"/>
        <c:ser>
          <c:idx val="0"/>
          <c:order val="0"/>
          <c:tx>
            <c:strRef>
              <c:f>'15'!$R$5</c:f>
              <c:strCache>
                <c:ptCount val="1"/>
                <c:pt idx="0">
                  <c:v>Sales</c:v>
                </c:pt>
              </c:strCache>
            </c:strRef>
          </c:tx>
          <c:spPr>
            <a:solidFill>
              <a:srgbClr val="2F50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'15'!$A$6:$A$8</c:f>
              <c:strCache>
                <c:ptCount val="3"/>
                <c:pt idx="0">
                  <c:v>Married</c:v>
                </c:pt>
                <c:pt idx="1">
                  <c:v>Male householder</c:v>
                </c:pt>
                <c:pt idx="2">
                  <c:v>Female householder</c:v>
                </c:pt>
              </c:strCache>
            </c:strRef>
          </c:cat>
          <c:val>
            <c:numRef>
              <c:f>'15'!$R$6:$R$8</c:f>
              <c:numCache>
                <c:formatCode>0.0%</c:formatCode>
                <c:ptCount val="3"/>
                <c:pt idx="0">
                  <c:v>3.7508850268436339E-2</c:v>
                </c:pt>
                <c:pt idx="1">
                  <c:v>5.1504835725344415E-2</c:v>
                </c:pt>
                <c:pt idx="2">
                  <c:v>5.7368730941327668E-2</c:v>
                </c:pt>
              </c:numCache>
            </c:numRef>
          </c:val>
          <c:extLst>
            <c:ext xmlns:c16="http://schemas.microsoft.com/office/drawing/2014/chart" uri="{C3380CC4-5D6E-409C-BE32-E72D297353CC}">
              <c16:uniqueId val="{00000000-1EBE-4122-A35C-1C19A0BF4FE4}"/>
            </c:ext>
          </c:extLst>
        </c:ser>
        <c:ser>
          <c:idx val="1"/>
          <c:order val="1"/>
          <c:tx>
            <c:strRef>
              <c:f>'15'!$S$5</c:f>
              <c:strCache>
                <c:ptCount val="1"/>
                <c:pt idx="0">
                  <c:v>Property</c:v>
                </c:pt>
              </c:strCache>
            </c:strRef>
          </c:tx>
          <c:spPr>
            <a:solidFill>
              <a:srgbClr val="9FB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'15'!$A$6:$A$8</c:f>
              <c:strCache>
                <c:ptCount val="3"/>
                <c:pt idx="0">
                  <c:v>Married</c:v>
                </c:pt>
                <c:pt idx="1">
                  <c:v>Male householder</c:v>
                </c:pt>
                <c:pt idx="2">
                  <c:v>Female householder</c:v>
                </c:pt>
              </c:strCache>
            </c:strRef>
          </c:cat>
          <c:val>
            <c:numRef>
              <c:f>'15'!$S$6:$S$8</c:f>
              <c:numCache>
                <c:formatCode>0.0%</c:formatCode>
                <c:ptCount val="3"/>
                <c:pt idx="0">
                  <c:v>1.8349655910486984E-2</c:v>
                </c:pt>
                <c:pt idx="1">
                  <c:v>2.0874682200449208E-2</c:v>
                </c:pt>
                <c:pt idx="2">
                  <c:v>2.2264411209649084E-2</c:v>
                </c:pt>
              </c:numCache>
            </c:numRef>
          </c:val>
          <c:extLst>
            <c:ext xmlns:c16="http://schemas.microsoft.com/office/drawing/2014/chart" uri="{C3380CC4-5D6E-409C-BE32-E72D297353CC}">
              <c16:uniqueId val="{00000001-1EBE-4122-A35C-1C19A0BF4FE4}"/>
            </c:ext>
          </c:extLst>
        </c:ser>
        <c:ser>
          <c:idx val="2"/>
          <c:order val="2"/>
          <c:tx>
            <c:strRef>
              <c:f>'15'!$T$5</c:f>
              <c:strCache>
                <c:ptCount val="1"/>
                <c:pt idx="0">
                  <c:v>Income</c:v>
                </c:pt>
              </c:strCache>
            </c:strRef>
          </c:tx>
          <c:spPr>
            <a:solidFill>
              <a:schemeClr val="bg2">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'15'!$A$6:$A$8</c:f>
              <c:strCache>
                <c:ptCount val="3"/>
                <c:pt idx="0">
                  <c:v>Married</c:v>
                </c:pt>
                <c:pt idx="1">
                  <c:v>Male householder</c:v>
                </c:pt>
                <c:pt idx="2">
                  <c:v>Female householder</c:v>
                </c:pt>
              </c:strCache>
            </c:strRef>
          </c:cat>
          <c:val>
            <c:numRef>
              <c:f>'15'!$T$6:$T$8</c:f>
              <c:numCache>
                <c:formatCode>0.0%</c:formatCode>
                <c:ptCount val="3"/>
                <c:pt idx="0">
                  <c:v>3.0460004226596119E-2</c:v>
                </c:pt>
                <c:pt idx="1">
                  <c:v>2.4954852044683087E-2</c:v>
                </c:pt>
                <c:pt idx="2">
                  <c:v>2.2056039918364374E-2</c:v>
                </c:pt>
              </c:numCache>
            </c:numRef>
          </c:val>
          <c:extLst>
            <c:ext xmlns:c16="http://schemas.microsoft.com/office/drawing/2014/chart" uri="{C3380CC4-5D6E-409C-BE32-E72D297353CC}">
              <c16:uniqueId val="{00000002-1EBE-4122-A35C-1C19A0BF4FE4}"/>
            </c:ext>
          </c:extLst>
        </c:ser>
        <c:dLbls>
          <c:dLblPos val="ctr"/>
          <c:showLegendKey val="0"/>
          <c:showVal val="1"/>
          <c:showCatName val="0"/>
          <c:showSerName val="0"/>
          <c:showPercent val="0"/>
          <c:showBubbleSize val="0"/>
        </c:dLbls>
        <c:gapWidth val="20"/>
        <c:overlap val="100"/>
        <c:axId val="1529973824"/>
        <c:axId val="1529977152"/>
        <c:extLst>
          <c:ext xmlns:c15="http://schemas.microsoft.com/office/drawing/2012/chart" uri="{02D57815-91ED-43cb-92C2-25804820EDAC}">
            <c15:filteredBarSeries>
              <c15:ser>
                <c:idx val="3"/>
                <c:order val="3"/>
                <c:tx>
                  <c:strRef>
                    <c:extLst>
                      <c:ext uri="{02D57815-91ED-43cb-92C2-25804820EDAC}">
                        <c15:formulaRef>
                          <c15:sqref>'15'!$U$5</c15:sqref>
                        </c15:formulaRef>
                      </c:ext>
                    </c:extLst>
                    <c:strCache>
                      <c:ptCount val="1"/>
                      <c:pt idx="0">
                        <c:v>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'15'!$A$6:$A$8</c15:sqref>
                        </c15:formulaRef>
                      </c:ext>
                    </c:extLst>
                    <c:strCache>
                      <c:ptCount val="3"/>
                      <c:pt idx="0">
                        <c:v>Married</c:v>
                      </c:pt>
                      <c:pt idx="1">
                        <c:v>Male householder</c:v>
                      </c:pt>
                      <c:pt idx="2">
                        <c:v>Female householder</c:v>
                      </c:pt>
                    </c:strCache>
                  </c:strRef>
                </c:cat>
                <c:val>
                  <c:numRef>
                    <c:extLst>
                      <c:ext uri="{02D57815-91ED-43cb-92C2-25804820EDAC}">
                        <c15:formulaRef>
                          <c15:sqref>'15'!$U$6:$U$8</c15:sqref>
                        </c15:formulaRef>
                      </c:ext>
                    </c:extLst>
                    <c:numCache>
                      <c:formatCode>0.0%</c:formatCode>
                      <c:ptCount val="3"/>
                      <c:pt idx="0">
                        <c:v>8.6318510405519439E-2</c:v>
                      </c:pt>
                      <c:pt idx="1">
                        <c:v>9.7000000000000003E-2</c:v>
                      </c:pt>
                      <c:pt idx="2">
                        <c:v>0.10199999999999999</c:v>
                      </c:pt>
                    </c:numCache>
                  </c:numRef>
                </c:val>
                <c:extLst>
                  <c:ext xmlns:c16="http://schemas.microsoft.com/office/drawing/2014/chart" uri="{C3380CC4-5D6E-409C-BE32-E72D297353CC}">
                    <c16:uniqueId val="{00000006-B2FF-4EE8-A03A-BBEFE908F630}"/>
                  </c:ext>
                </c:extLst>
              </c15:ser>
            </c15:filteredBarSeries>
          </c:ext>
        </c:extLst>
      </c:barChart>
      <c:catAx>
        <c:axId val="152997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1529977152"/>
        <c:crosses val="autoZero"/>
        <c:auto val="1"/>
        <c:lblAlgn val="ctr"/>
        <c:lblOffset val="100"/>
        <c:noMultiLvlLbl val="0"/>
      </c:catAx>
      <c:valAx>
        <c:axId val="1529977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1529973824"/>
        <c:crosses val="autoZero"/>
        <c:crossBetween val="between"/>
      </c:valAx>
      <c:spPr>
        <a:noFill/>
        <a:ln>
          <a:noFill/>
        </a:ln>
        <a:effectLst/>
      </c:spPr>
    </c:plotArea>
    <c:legend>
      <c:legendPos val="t"/>
      <c:layout>
        <c:manualLayout>
          <c:xMode val="edge"/>
          <c:yMode val="edge"/>
          <c:x val="3.9475065616797903E-4"/>
          <c:y val="0.15869629629629631"/>
          <c:w val="0.33151496062992125"/>
          <c:h val="6.00909886264217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400" b="1">
                <a:solidFill>
                  <a:srgbClr val="972421"/>
                </a:solidFill>
              </a:rPr>
              <a:t>Rural Oklahomans pay more of </a:t>
            </a:r>
            <a:br>
              <a:rPr lang="en-US" sz="2400" b="1">
                <a:solidFill>
                  <a:srgbClr val="972421"/>
                </a:solidFill>
              </a:rPr>
            </a:br>
            <a:r>
              <a:rPr lang="en-US" sz="2400" b="1">
                <a:solidFill>
                  <a:srgbClr val="972421"/>
                </a:solidFill>
              </a:rPr>
              <a:t>their income in taxes</a:t>
            </a:r>
          </a:p>
        </c:rich>
      </c:tx>
      <c:layout>
        <c:manualLayout>
          <c:xMode val="edge"/>
          <c:yMode val="edge"/>
          <c:x val="1.4141732283464567E-3"/>
          <c:y val="0"/>
        </c:manualLayout>
      </c:layout>
      <c:overlay val="0"/>
      <c:spPr>
        <a:noFill/>
        <a:ln>
          <a:noFill/>
        </a:ln>
        <a:effectLst/>
      </c:spPr>
      <c:txPr>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manualLayout>
          <c:layoutTarget val="inner"/>
          <c:xMode val="edge"/>
          <c:yMode val="edge"/>
          <c:x val="0.1360020997375328"/>
          <c:y val="0.23905931758530183"/>
          <c:w val="0.8430455193100862"/>
          <c:h val="0.57859480898221061"/>
        </c:manualLayout>
      </c:layout>
      <c:barChart>
        <c:barDir val="col"/>
        <c:grouping val="clustered"/>
        <c:varyColors val="0"/>
        <c:ser>
          <c:idx val="0"/>
          <c:order val="0"/>
          <c:spPr>
            <a:solidFill>
              <a:srgbClr val="2F507F"/>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'16'!$C$89:$C$92</c:f>
              <c:strCache>
                <c:ptCount val="4"/>
                <c:pt idx="0">
                  <c:v>OKC Metro</c:v>
                </c:pt>
                <c:pt idx="1">
                  <c:v>Tulsa Metro</c:v>
                </c:pt>
                <c:pt idx="2">
                  <c:v>Other Metro</c:v>
                </c:pt>
                <c:pt idx="3">
                  <c:v>Not Metro</c:v>
                </c:pt>
              </c:strCache>
            </c:strRef>
          </c:cat>
          <c:val>
            <c:numRef>
              <c:f>'16'!$F$89:$F$92</c:f>
              <c:numCache>
                <c:formatCode>0.0%</c:formatCode>
                <c:ptCount val="4"/>
                <c:pt idx="0">
                  <c:v>9.960505194495782E-2</c:v>
                </c:pt>
                <c:pt idx="1">
                  <c:v>0.10265024276466282</c:v>
                </c:pt>
                <c:pt idx="2">
                  <c:v>0.10432293413207874</c:v>
                </c:pt>
                <c:pt idx="3">
                  <c:v>0.10538167636065071</c:v>
                </c:pt>
              </c:numCache>
            </c:numRef>
          </c:val>
          <c:extLst>
            <c:ext xmlns:c16="http://schemas.microsoft.com/office/drawing/2014/chart" uri="{C3380CC4-5D6E-409C-BE32-E72D297353CC}">
              <c16:uniqueId val="{00000000-08DB-492C-8E72-DEA9E82E5D7D}"/>
            </c:ext>
          </c:extLst>
        </c:ser>
        <c:dLbls>
          <c:showLegendKey val="0"/>
          <c:showVal val="0"/>
          <c:showCatName val="0"/>
          <c:showSerName val="0"/>
          <c:showPercent val="0"/>
          <c:showBubbleSize val="0"/>
        </c:dLbls>
        <c:gapWidth val="40"/>
        <c:overlap val="-10"/>
        <c:axId val="219252479"/>
        <c:axId val="219247071"/>
      </c:barChart>
      <c:catAx>
        <c:axId val="21925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47071"/>
        <c:crosses val="autoZero"/>
        <c:auto val="1"/>
        <c:lblAlgn val="ctr"/>
        <c:lblOffset val="100"/>
        <c:noMultiLvlLbl val="0"/>
      </c:catAx>
      <c:valAx>
        <c:axId val="219247071"/>
        <c:scaling>
          <c:orientation val="minMax"/>
          <c:min val="7.0000000000000007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0"/>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r>
                  <a:rPr lang="en-US" sz="1200" b="0" i="0" baseline="0">
                    <a:effectLst/>
                  </a:rPr>
                  <a:t>State and Local Tax as % of Income</a:t>
                </a:r>
                <a:endParaRPr lang="en-US" sz="1000">
                  <a:effectLst/>
                </a:endParaRPr>
              </a:p>
            </c:rich>
          </c:tx>
          <c:layout>
            <c:manualLayout>
              <c:xMode val="edge"/>
              <c:yMode val="edge"/>
              <c:x val="2.0952380952380951E-2"/>
              <c:y val="0.25894173228346451"/>
            </c:manualLayout>
          </c:layout>
          <c:overlay val="0"/>
          <c:spPr>
            <a:noFill/>
            <a:ln>
              <a:noFill/>
            </a:ln>
            <a:effectLst/>
          </c:spPr>
          <c:txPr>
            <a:bodyPr rot="-5400000" spcFirstLastPara="1" vertOverflow="ellipsis" vert="horz" wrap="square" anchor="ctr" anchorCtr="0"/>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52479"/>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2000">
                <a:solidFill>
                  <a:srgbClr val="972421"/>
                </a:solidFill>
              </a:rPr>
              <a:t>Oklahoma taxes have fallen dramatically</a:t>
            </a:r>
          </a:p>
        </c:rich>
      </c:tx>
      <c:layout>
        <c:manualLayout>
          <c:xMode val="edge"/>
          <c:yMode val="edge"/>
          <c:x val="7.8425196850393701E-4"/>
          <c:y val="0"/>
        </c:manualLayout>
      </c:layout>
      <c:overlay val="0"/>
    </c:title>
    <c:autoTitleDeleted val="0"/>
    <c:plotArea>
      <c:layout>
        <c:manualLayout>
          <c:layoutTarget val="inner"/>
          <c:xMode val="edge"/>
          <c:yMode val="edge"/>
          <c:x val="0.11560194975628046"/>
          <c:y val="0.24091076115485563"/>
          <c:w val="0.86344566929133859"/>
          <c:h val="0.58061679790026233"/>
        </c:manualLayout>
      </c:layout>
      <c:lineChart>
        <c:grouping val="standard"/>
        <c:varyColors val="0"/>
        <c:ser>
          <c:idx val="0"/>
          <c:order val="0"/>
          <c:tx>
            <c:v>Oklahoma</c:v>
          </c:tx>
          <c:spPr>
            <a:ln w="50800" cap="rnd">
              <a:solidFill>
                <a:srgbClr val="2F507F"/>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6-FC87-49AD-B978-1580A410595E}"/>
                </c:ext>
              </c:extLst>
            </c:dLbl>
            <c:dLbl>
              <c:idx val="2"/>
              <c:delete val="1"/>
              <c:extLst>
                <c:ext xmlns:c15="http://schemas.microsoft.com/office/drawing/2012/chart" uri="{CE6537A1-D6FC-4f65-9D91-7224C49458BB}"/>
                <c:ext xmlns:c16="http://schemas.microsoft.com/office/drawing/2014/chart" uri="{C3380CC4-5D6E-409C-BE32-E72D297353CC}">
                  <c16:uniqueId val="{00000035-FC87-49AD-B978-1580A410595E}"/>
                </c:ext>
              </c:extLst>
            </c:dLbl>
            <c:dLbl>
              <c:idx val="3"/>
              <c:delete val="1"/>
              <c:extLst>
                <c:ext xmlns:c15="http://schemas.microsoft.com/office/drawing/2012/chart" uri="{CE6537A1-D6FC-4f65-9D91-7224C49458BB}"/>
                <c:ext xmlns:c16="http://schemas.microsoft.com/office/drawing/2014/chart" uri="{C3380CC4-5D6E-409C-BE32-E72D297353CC}">
                  <c16:uniqueId val="{00000034-FC87-49AD-B978-1580A410595E}"/>
                </c:ext>
              </c:extLst>
            </c:dLbl>
            <c:dLbl>
              <c:idx val="4"/>
              <c:delete val="1"/>
              <c:extLst>
                <c:ext xmlns:c15="http://schemas.microsoft.com/office/drawing/2012/chart" uri="{CE6537A1-D6FC-4f65-9D91-7224C49458BB}"/>
                <c:ext xmlns:c16="http://schemas.microsoft.com/office/drawing/2014/chart" uri="{C3380CC4-5D6E-409C-BE32-E72D297353CC}">
                  <c16:uniqueId val="{00000033-FC87-49AD-B978-1580A410595E}"/>
                </c:ext>
              </c:extLst>
            </c:dLbl>
            <c:dLbl>
              <c:idx val="5"/>
              <c:delete val="1"/>
              <c:extLst>
                <c:ext xmlns:c15="http://schemas.microsoft.com/office/drawing/2012/chart" uri="{CE6537A1-D6FC-4f65-9D91-7224C49458BB}"/>
                <c:ext xmlns:c16="http://schemas.microsoft.com/office/drawing/2014/chart" uri="{C3380CC4-5D6E-409C-BE32-E72D297353CC}">
                  <c16:uniqueId val="{00000032-FC87-49AD-B978-1580A410595E}"/>
                </c:ext>
              </c:extLst>
            </c:dLbl>
            <c:dLbl>
              <c:idx val="6"/>
              <c:delete val="1"/>
              <c:extLst>
                <c:ext xmlns:c15="http://schemas.microsoft.com/office/drawing/2012/chart" uri="{CE6537A1-D6FC-4f65-9D91-7224C49458BB}"/>
                <c:ext xmlns:c16="http://schemas.microsoft.com/office/drawing/2014/chart" uri="{C3380CC4-5D6E-409C-BE32-E72D297353CC}">
                  <c16:uniqueId val="{00000031-FC87-49AD-B978-1580A410595E}"/>
                </c:ext>
              </c:extLst>
            </c:dLbl>
            <c:dLbl>
              <c:idx val="7"/>
              <c:delete val="1"/>
              <c:extLst>
                <c:ext xmlns:c15="http://schemas.microsoft.com/office/drawing/2012/chart" uri="{CE6537A1-D6FC-4f65-9D91-7224C49458BB}"/>
                <c:ext xmlns:c16="http://schemas.microsoft.com/office/drawing/2014/chart" uri="{C3380CC4-5D6E-409C-BE32-E72D297353CC}">
                  <c16:uniqueId val="{00000030-FC87-49AD-B978-1580A410595E}"/>
                </c:ext>
              </c:extLst>
            </c:dLbl>
            <c:dLbl>
              <c:idx val="8"/>
              <c:delete val="1"/>
              <c:extLst>
                <c:ext xmlns:c15="http://schemas.microsoft.com/office/drawing/2012/chart" uri="{CE6537A1-D6FC-4f65-9D91-7224C49458BB}"/>
                <c:ext xmlns:c16="http://schemas.microsoft.com/office/drawing/2014/chart" uri="{C3380CC4-5D6E-409C-BE32-E72D297353CC}">
                  <c16:uniqueId val="{0000002F-FC87-49AD-B978-1580A410595E}"/>
                </c:ext>
              </c:extLst>
            </c:dLbl>
            <c:dLbl>
              <c:idx val="9"/>
              <c:delete val="1"/>
              <c:extLst>
                <c:ext xmlns:c15="http://schemas.microsoft.com/office/drawing/2012/chart" uri="{CE6537A1-D6FC-4f65-9D91-7224C49458BB}"/>
                <c:ext xmlns:c16="http://schemas.microsoft.com/office/drawing/2014/chart" uri="{C3380CC4-5D6E-409C-BE32-E72D297353CC}">
                  <c16:uniqueId val="{0000002E-FC87-49AD-B978-1580A410595E}"/>
                </c:ext>
              </c:extLst>
            </c:dLbl>
            <c:dLbl>
              <c:idx val="10"/>
              <c:delete val="1"/>
              <c:extLst>
                <c:ext xmlns:c15="http://schemas.microsoft.com/office/drawing/2012/chart" uri="{CE6537A1-D6FC-4f65-9D91-7224C49458BB}"/>
                <c:ext xmlns:c16="http://schemas.microsoft.com/office/drawing/2014/chart" uri="{C3380CC4-5D6E-409C-BE32-E72D297353CC}">
                  <c16:uniqueId val="{0000002D-FC87-49AD-B978-1580A410595E}"/>
                </c:ext>
              </c:extLst>
            </c:dLbl>
            <c:dLbl>
              <c:idx val="11"/>
              <c:delete val="1"/>
              <c:extLst>
                <c:ext xmlns:c15="http://schemas.microsoft.com/office/drawing/2012/chart" uri="{CE6537A1-D6FC-4f65-9D91-7224C49458BB}"/>
                <c:ext xmlns:c16="http://schemas.microsoft.com/office/drawing/2014/chart" uri="{C3380CC4-5D6E-409C-BE32-E72D297353CC}">
                  <c16:uniqueId val="{0000002C-FC87-49AD-B978-1580A410595E}"/>
                </c:ext>
              </c:extLst>
            </c:dLbl>
            <c:dLbl>
              <c:idx val="12"/>
              <c:delete val="1"/>
              <c:extLst>
                <c:ext xmlns:c15="http://schemas.microsoft.com/office/drawing/2012/chart" uri="{CE6537A1-D6FC-4f65-9D91-7224C49458BB}"/>
                <c:ext xmlns:c16="http://schemas.microsoft.com/office/drawing/2014/chart" uri="{C3380CC4-5D6E-409C-BE32-E72D297353CC}">
                  <c16:uniqueId val="{0000002B-FC87-49AD-B978-1580A410595E}"/>
                </c:ext>
              </c:extLst>
            </c:dLbl>
            <c:dLbl>
              <c:idx val="13"/>
              <c:delete val="1"/>
              <c:extLst>
                <c:ext xmlns:c15="http://schemas.microsoft.com/office/drawing/2012/chart" uri="{CE6537A1-D6FC-4f65-9D91-7224C49458BB}"/>
                <c:ext xmlns:c16="http://schemas.microsoft.com/office/drawing/2014/chart" uri="{C3380CC4-5D6E-409C-BE32-E72D297353CC}">
                  <c16:uniqueId val="{0000002A-FC87-49AD-B978-1580A410595E}"/>
                </c:ext>
              </c:extLst>
            </c:dLbl>
            <c:numFmt formatCode="0.0%" sourceLinked="0"/>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9.1619469999999995E-2</c:v>
              </c:pt>
              <c:pt idx="1">
                <c:v>9.1056450000000011E-2</c:v>
              </c:pt>
              <c:pt idx="2">
                <c:v>9.2735529999999997E-2</c:v>
              </c:pt>
              <c:pt idx="3">
                <c:v>9.2557536999999995E-2</c:v>
              </c:pt>
              <c:pt idx="4">
                <c:v>8.6824132999999998E-2</c:v>
              </c:pt>
              <c:pt idx="5">
                <c:v>9.5075944999999995E-2</c:v>
              </c:pt>
              <c:pt idx="6">
                <c:v>8.3778579999999991E-2</c:v>
              </c:pt>
              <c:pt idx="7">
                <c:v>8.2369528999999997E-2</c:v>
              </c:pt>
              <c:pt idx="8">
                <c:v>8.3856835000000005E-2</c:v>
              </c:pt>
              <c:pt idx="9">
                <c:v>8.0742938E-2</c:v>
              </c:pt>
              <c:pt idx="10">
                <c:v>7.8140825999999997E-2</c:v>
              </c:pt>
              <c:pt idx="11">
                <c:v>8.5165000000000005E-2</c:v>
              </c:pt>
              <c:pt idx="12">
                <c:v>8.3746715999999999E-2</c:v>
              </c:pt>
              <c:pt idx="13">
                <c:v>7.9622587999999994E-2</c:v>
              </c:pt>
              <c:pt idx="14">
                <c:v>8.3199999999999996E-2</c:v>
              </c:pt>
            </c:numLit>
          </c:val>
          <c:smooth val="0"/>
          <c:extLst>
            <c:ext xmlns:c16="http://schemas.microsoft.com/office/drawing/2014/chart" uri="{C3380CC4-5D6E-409C-BE32-E72D297353CC}">
              <c16:uniqueId val="{00000000-A7CB-44B9-B7A0-40CB71865B30}"/>
            </c:ext>
          </c:extLst>
        </c:ser>
        <c:ser>
          <c:idx val="1"/>
          <c:order val="1"/>
          <c:tx>
            <c:v>US Average</c:v>
          </c:tx>
          <c:spPr>
            <a:ln w="50800">
              <a:solidFill>
                <a:srgbClr val="FFFFFF">
                  <a:lumMod val="65000"/>
                </a:srgbClr>
              </a:solidFill>
            </a:ln>
          </c:spPr>
          <c:marker>
            <c:symbol val="none"/>
          </c:marker>
          <c:dLbls>
            <c:dLbl>
              <c:idx val="0"/>
              <c:numFmt formatCode="0.0%" sourceLinked="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A-FC87-49AD-B978-1580A410595E}"/>
                </c:ext>
              </c:extLst>
            </c:dLbl>
            <c:dLbl>
              <c:idx val="1"/>
              <c:delete val="1"/>
              <c:extLst>
                <c:ext xmlns:c15="http://schemas.microsoft.com/office/drawing/2012/chart" uri="{CE6537A1-D6FC-4f65-9D91-7224C49458BB}"/>
                <c:ext xmlns:c16="http://schemas.microsoft.com/office/drawing/2014/chart" uri="{C3380CC4-5D6E-409C-BE32-E72D297353CC}">
                  <c16:uniqueId val="{00000018-FC87-49AD-B978-1580A410595E}"/>
                </c:ext>
              </c:extLst>
            </c:dLbl>
            <c:dLbl>
              <c:idx val="2"/>
              <c:delete val="1"/>
              <c:extLst>
                <c:ext xmlns:c15="http://schemas.microsoft.com/office/drawing/2012/chart" uri="{CE6537A1-D6FC-4f65-9D91-7224C49458BB}"/>
                <c:ext xmlns:c16="http://schemas.microsoft.com/office/drawing/2014/chart" uri="{C3380CC4-5D6E-409C-BE32-E72D297353CC}">
                  <c16:uniqueId val="{00000017-FC87-49AD-B978-1580A410595E}"/>
                </c:ext>
              </c:extLst>
            </c:dLbl>
            <c:dLbl>
              <c:idx val="3"/>
              <c:delete val="1"/>
              <c:extLst>
                <c:ext xmlns:c15="http://schemas.microsoft.com/office/drawing/2012/chart" uri="{CE6537A1-D6FC-4f65-9D91-7224C49458BB}"/>
                <c:ext xmlns:c16="http://schemas.microsoft.com/office/drawing/2014/chart" uri="{C3380CC4-5D6E-409C-BE32-E72D297353CC}">
                  <c16:uniqueId val="{00000016-FC87-49AD-B978-1580A410595E}"/>
                </c:ext>
              </c:extLst>
            </c:dLbl>
            <c:dLbl>
              <c:idx val="4"/>
              <c:delete val="1"/>
              <c:extLst>
                <c:ext xmlns:c15="http://schemas.microsoft.com/office/drawing/2012/chart" uri="{CE6537A1-D6FC-4f65-9D91-7224C49458BB}"/>
                <c:ext xmlns:c16="http://schemas.microsoft.com/office/drawing/2014/chart" uri="{C3380CC4-5D6E-409C-BE32-E72D297353CC}">
                  <c16:uniqueId val="{00000015-FC87-49AD-B978-1580A410595E}"/>
                </c:ext>
              </c:extLst>
            </c:dLbl>
            <c:dLbl>
              <c:idx val="5"/>
              <c:delete val="1"/>
              <c:extLst>
                <c:ext xmlns:c15="http://schemas.microsoft.com/office/drawing/2012/chart" uri="{CE6537A1-D6FC-4f65-9D91-7224C49458BB}"/>
                <c:ext xmlns:c16="http://schemas.microsoft.com/office/drawing/2014/chart" uri="{C3380CC4-5D6E-409C-BE32-E72D297353CC}">
                  <c16:uniqueId val="{00000014-FC87-49AD-B978-1580A410595E}"/>
                </c:ext>
              </c:extLst>
            </c:dLbl>
            <c:dLbl>
              <c:idx val="6"/>
              <c:delete val="1"/>
              <c:extLst>
                <c:ext xmlns:c15="http://schemas.microsoft.com/office/drawing/2012/chart" uri="{CE6537A1-D6FC-4f65-9D91-7224C49458BB}"/>
                <c:ext xmlns:c16="http://schemas.microsoft.com/office/drawing/2014/chart" uri="{C3380CC4-5D6E-409C-BE32-E72D297353CC}">
                  <c16:uniqueId val="{00000013-FC87-49AD-B978-1580A410595E}"/>
                </c:ext>
              </c:extLst>
            </c:dLbl>
            <c:dLbl>
              <c:idx val="7"/>
              <c:delete val="1"/>
              <c:extLst>
                <c:ext xmlns:c15="http://schemas.microsoft.com/office/drawing/2012/chart" uri="{CE6537A1-D6FC-4f65-9D91-7224C49458BB}"/>
                <c:ext xmlns:c16="http://schemas.microsoft.com/office/drawing/2014/chart" uri="{C3380CC4-5D6E-409C-BE32-E72D297353CC}">
                  <c16:uniqueId val="{00000012-FC87-49AD-B978-1580A410595E}"/>
                </c:ext>
              </c:extLst>
            </c:dLbl>
            <c:dLbl>
              <c:idx val="8"/>
              <c:delete val="1"/>
              <c:extLst>
                <c:ext xmlns:c15="http://schemas.microsoft.com/office/drawing/2012/chart" uri="{CE6537A1-D6FC-4f65-9D91-7224C49458BB}"/>
                <c:ext xmlns:c16="http://schemas.microsoft.com/office/drawing/2014/chart" uri="{C3380CC4-5D6E-409C-BE32-E72D297353CC}">
                  <c16:uniqueId val="{00000011-FC87-49AD-B978-1580A410595E}"/>
                </c:ext>
              </c:extLst>
            </c:dLbl>
            <c:dLbl>
              <c:idx val="9"/>
              <c:delete val="1"/>
              <c:extLst>
                <c:ext xmlns:c15="http://schemas.microsoft.com/office/drawing/2012/chart" uri="{CE6537A1-D6FC-4f65-9D91-7224C49458BB}"/>
                <c:ext xmlns:c16="http://schemas.microsoft.com/office/drawing/2014/chart" uri="{C3380CC4-5D6E-409C-BE32-E72D297353CC}">
                  <c16:uniqueId val="{00000010-FC87-49AD-B978-1580A410595E}"/>
                </c:ext>
              </c:extLst>
            </c:dLbl>
            <c:dLbl>
              <c:idx val="10"/>
              <c:delete val="1"/>
              <c:extLst>
                <c:ext xmlns:c15="http://schemas.microsoft.com/office/drawing/2012/chart" uri="{CE6537A1-D6FC-4f65-9D91-7224C49458BB}"/>
                <c:ext xmlns:c16="http://schemas.microsoft.com/office/drawing/2014/chart" uri="{C3380CC4-5D6E-409C-BE32-E72D297353CC}">
                  <c16:uniqueId val="{0000000F-FC87-49AD-B978-1580A410595E}"/>
                </c:ext>
              </c:extLst>
            </c:dLbl>
            <c:dLbl>
              <c:idx val="11"/>
              <c:delete val="1"/>
              <c:extLst>
                <c:ext xmlns:c15="http://schemas.microsoft.com/office/drawing/2012/chart" uri="{CE6537A1-D6FC-4f65-9D91-7224C49458BB}"/>
                <c:ext xmlns:c16="http://schemas.microsoft.com/office/drawing/2014/chart" uri="{C3380CC4-5D6E-409C-BE32-E72D297353CC}">
                  <c16:uniqueId val="{0000000E-FC87-49AD-B978-1580A410595E}"/>
                </c:ext>
              </c:extLst>
            </c:dLbl>
            <c:dLbl>
              <c:idx val="12"/>
              <c:delete val="1"/>
              <c:extLst>
                <c:ext xmlns:c15="http://schemas.microsoft.com/office/drawing/2012/chart" uri="{CE6537A1-D6FC-4f65-9D91-7224C49458BB}"/>
                <c:ext xmlns:c16="http://schemas.microsoft.com/office/drawing/2014/chart" uri="{C3380CC4-5D6E-409C-BE32-E72D297353CC}">
                  <c16:uniqueId val="{0000000D-FC87-49AD-B978-1580A410595E}"/>
                </c:ext>
              </c:extLst>
            </c:dLbl>
            <c:dLbl>
              <c:idx val="13"/>
              <c:delete val="1"/>
              <c:extLst>
                <c:ext xmlns:c15="http://schemas.microsoft.com/office/drawing/2012/chart" uri="{CE6537A1-D6FC-4f65-9D91-7224C49458BB}"/>
                <c:ext xmlns:c16="http://schemas.microsoft.com/office/drawing/2014/chart" uri="{C3380CC4-5D6E-409C-BE32-E72D297353CC}">
                  <c16:uniqueId val="{0000000C-FC87-49AD-B978-1580A410595E}"/>
                </c:ext>
              </c:extLst>
            </c:dLbl>
            <c:dLbl>
              <c:idx val="14"/>
              <c:numFmt formatCode="0.0%" sourceLinked="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9-FC87-49AD-B978-1580A410595E}"/>
                </c:ext>
              </c:extLst>
            </c:dLbl>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0.1006196</c:v>
              </c:pt>
              <c:pt idx="1">
                <c:v>0.103579</c:v>
              </c:pt>
              <c:pt idx="2">
                <c:v>0.10598</c:v>
              </c:pt>
              <c:pt idx="3">
                <c:v>0.10697942000000001</c:v>
              </c:pt>
              <c:pt idx="4">
                <c:v>0.10643002</c:v>
              </c:pt>
              <c:pt idx="5">
                <c:v>0.10639145999999999</c:v>
              </c:pt>
              <c:pt idx="6">
                <c:v>0.10196516999999999</c:v>
              </c:pt>
              <c:pt idx="7">
                <c:v>0.10094789999999999</c:v>
              </c:pt>
              <c:pt idx="8">
                <c:v>9.915322E-2</c:v>
              </c:pt>
              <c:pt idx="9">
                <c:v>0.10270327</c:v>
              </c:pt>
              <c:pt idx="10">
                <c:v>9.9777099999999994E-2</c:v>
              </c:pt>
              <c:pt idx="11">
                <c:v>9.9525069999999993E-2</c:v>
              </c:pt>
              <c:pt idx="12">
                <c:v>9.9407720000000005E-2</c:v>
              </c:pt>
              <c:pt idx="13">
                <c:v>9.8264249999999997E-2</c:v>
              </c:pt>
              <c:pt idx="14">
                <c:v>9.8900000000000002E-2</c:v>
              </c:pt>
            </c:numLit>
          </c:val>
          <c:smooth val="0"/>
          <c:extLst>
            <c:ext xmlns:c16="http://schemas.microsoft.com/office/drawing/2014/chart" uri="{C3380CC4-5D6E-409C-BE32-E72D297353CC}">
              <c16:uniqueId val="{0000000A-FC87-49AD-B978-1580A410595E}"/>
            </c:ext>
          </c:extLst>
        </c:ser>
        <c:ser>
          <c:idx val="2"/>
          <c:order val="2"/>
          <c:tx>
            <c:v>Regional Average</c:v>
          </c:tx>
          <c:spPr>
            <a:ln w="50800">
              <a:solidFill>
                <a:srgbClr val="9FB8DB"/>
              </a:solidFill>
            </a:ln>
          </c:spPr>
          <c:marker>
            <c:symbol val="none"/>
          </c:marker>
          <c:dLbls>
            <c:dLbl>
              <c:idx val="0"/>
              <c:layout>
                <c:manualLayout>
                  <c:x val="-5.2666666666666667E-2"/>
                  <c:y val="2.6249343832020996E-3"/>
                </c:manualLayout>
              </c:layout>
              <c:numFmt formatCode="0.0%" sourceLinked="0"/>
              <c:spPr>
                <a:solidFill>
                  <a:srgbClr val="9FB8DB"/>
                </a:solidFill>
                <a:ln>
                  <a:noFill/>
                </a:ln>
                <a:effectLst/>
              </c:spPr>
              <c:txPr>
                <a:bodyPr wrap="square" lIns="38100" tIns="19050" rIns="38100" bIns="19050" anchor="ctr">
                  <a:spAutoFit/>
                </a:bodyPr>
                <a:lstStyle/>
                <a:p>
                  <a:pPr>
                    <a:defRPr b="1">
                      <a:solidFill>
                        <a:schemeClr val="bg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C87-49AD-B978-1580A410595E}"/>
                </c:ext>
              </c:extLst>
            </c:dLbl>
            <c:dLbl>
              <c:idx val="1"/>
              <c:delete val="1"/>
              <c:extLst>
                <c:ext xmlns:c15="http://schemas.microsoft.com/office/drawing/2012/chart" uri="{CE6537A1-D6FC-4f65-9D91-7224C49458BB}"/>
                <c:ext xmlns:c16="http://schemas.microsoft.com/office/drawing/2014/chart" uri="{C3380CC4-5D6E-409C-BE32-E72D297353CC}">
                  <c16:uniqueId val="{00000027-FC87-49AD-B978-1580A410595E}"/>
                </c:ext>
              </c:extLst>
            </c:dLbl>
            <c:dLbl>
              <c:idx val="2"/>
              <c:delete val="1"/>
              <c:extLst>
                <c:ext xmlns:c15="http://schemas.microsoft.com/office/drawing/2012/chart" uri="{CE6537A1-D6FC-4f65-9D91-7224C49458BB}"/>
                <c:ext xmlns:c16="http://schemas.microsoft.com/office/drawing/2014/chart" uri="{C3380CC4-5D6E-409C-BE32-E72D297353CC}">
                  <c16:uniqueId val="{00000026-FC87-49AD-B978-1580A410595E}"/>
                </c:ext>
              </c:extLst>
            </c:dLbl>
            <c:dLbl>
              <c:idx val="3"/>
              <c:delete val="1"/>
              <c:extLst>
                <c:ext xmlns:c15="http://schemas.microsoft.com/office/drawing/2012/chart" uri="{CE6537A1-D6FC-4f65-9D91-7224C49458BB}"/>
                <c:ext xmlns:c16="http://schemas.microsoft.com/office/drawing/2014/chart" uri="{C3380CC4-5D6E-409C-BE32-E72D297353CC}">
                  <c16:uniqueId val="{00000025-FC87-49AD-B978-1580A410595E}"/>
                </c:ext>
              </c:extLst>
            </c:dLbl>
            <c:dLbl>
              <c:idx val="4"/>
              <c:delete val="1"/>
              <c:extLst>
                <c:ext xmlns:c15="http://schemas.microsoft.com/office/drawing/2012/chart" uri="{CE6537A1-D6FC-4f65-9D91-7224C49458BB}"/>
                <c:ext xmlns:c16="http://schemas.microsoft.com/office/drawing/2014/chart" uri="{C3380CC4-5D6E-409C-BE32-E72D297353CC}">
                  <c16:uniqueId val="{00000024-FC87-49AD-B978-1580A410595E}"/>
                </c:ext>
              </c:extLst>
            </c:dLbl>
            <c:dLbl>
              <c:idx val="5"/>
              <c:delete val="1"/>
              <c:extLst>
                <c:ext xmlns:c15="http://schemas.microsoft.com/office/drawing/2012/chart" uri="{CE6537A1-D6FC-4f65-9D91-7224C49458BB}"/>
                <c:ext xmlns:c16="http://schemas.microsoft.com/office/drawing/2014/chart" uri="{C3380CC4-5D6E-409C-BE32-E72D297353CC}">
                  <c16:uniqueId val="{00000023-FC87-49AD-B978-1580A410595E}"/>
                </c:ext>
              </c:extLst>
            </c:dLbl>
            <c:dLbl>
              <c:idx val="6"/>
              <c:delete val="1"/>
              <c:extLst>
                <c:ext xmlns:c15="http://schemas.microsoft.com/office/drawing/2012/chart" uri="{CE6537A1-D6FC-4f65-9D91-7224C49458BB}"/>
                <c:ext xmlns:c16="http://schemas.microsoft.com/office/drawing/2014/chart" uri="{C3380CC4-5D6E-409C-BE32-E72D297353CC}">
                  <c16:uniqueId val="{00000022-FC87-49AD-B978-1580A410595E}"/>
                </c:ext>
              </c:extLst>
            </c:dLbl>
            <c:dLbl>
              <c:idx val="7"/>
              <c:delete val="1"/>
              <c:extLst>
                <c:ext xmlns:c15="http://schemas.microsoft.com/office/drawing/2012/chart" uri="{CE6537A1-D6FC-4f65-9D91-7224C49458BB}"/>
                <c:ext xmlns:c16="http://schemas.microsoft.com/office/drawing/2014/chart" uri="{C3380CC4-5D6E-409C-BE32-E72D297353CC}">
                  <c16:uniqueId val="{00000021-FC87-49AD-B978-1580A410595E}"/>
                </c:ext>
              </c:extLst>
            </c:dLbl>
            <c:dLbl>
              <c:idx val="8"/>
              <c:delete val="1"/>
              <c:extLst>
                <c:ext xmlns:c15="http://schemas.microsoft.com/office/drawing/2012/chart" uri="{CE6537A1-D6FC-4f65-9D91-7224C49458BB}"/>
                <c:ext xmlns:c16="http://schemas.microsoft.com/office/drawing/2014/chart" uri="{C3380CC4-5D6E-409C-BE32-E72D297353CC}">
                  <c16:uniqueId val="{00000020-FC87-49AD-B978-1580A410595E}"/>
                </c:ext>
              </c:extLst>
            </c:dLbl>
            <c:dLbl>
              <c:idx val="9"/>
              <c:delete val="1"/>
              <c:extLst>
                <c:ext xmlns:c15="http://schemas.microsoft.com/office/drawing/2012/chart" uri="{CE6537A1-D6FC-4f65-9D91-7224C49458BB}"/>
                <c:ext xmlns:c16="http://schemas.microsoft.com/office/drawing/2014/chart" uri="{C3380CC4-5D6E-409C-BE32-E72D297353CC}">
                  <c16:uniqueId val="{0000001F-FC87-49AD-B978-1580A410595E}"/>
                </c:ext>
              </c:extLst>
            </c:dLbl>
            <c:dLbl>
              <c:idx val="10"/>
              <c:delete val="1"/>
              <c:extLst>
                <c:ext xmlns:c15="http://schemas.microsoft.com/office/drawing/2012/chart" uri="{CE6537A1-D6FC-4f65-9D91-7224C49458BB}"/>
                <c:ext xmlns:c16="http://schemas.microsoft.com/office/drawing/2014/chart" uri="{C3380CC4-5D6E-409C-BE32-E72D297353CC}">
                  <c16:uniqueId val="{0000001E-FC87-49AD-B978-1580A410595E}"/>
                </c:ext>
              </c:extLst>
            </c:dLbl>
            <c:dLbl>
              <c:idx val="11"/>
              <c:delete val="1"/>
              <c:extLst>
                <c:ext xmlns:c15="http://schemas.microsoft.com/office/drawing/2012/chart" uri="{CE6537A1-D6FC-4f65-9D91-7224C49458BB}"/>
                <c:ext xmlns:c16="http://schemas.microsoft.com/office/drawing/2014/chart" uri="{C3380CC4-5D6E-409C-BE32-E72D297353CC}">
                  <c16:uniqueId val="{0000001D-FC87-49AD-B978-1580A410595E}"/>
                </c:ext>
              </c:extLst>
            </c:dLbl>
            <c:dLbl>
              <c:idx val="12"/>
              <c:delete val="1"/>
              <c:extLst>
                <c:ext xmlns:c15="http://schemas.microsoft.com/office/drawing/2012/chart" uri="{CE6537A1-D6FC-4f65-9D91-7224C49458BB}"/>
                <c:ext xmlns:c16="http://schemas.microsoft.com/office/drawing/2014/chart" uri="{C3380CC4-5D6E-409C-BE32-E72D297353CC}">
                  <c16:uniqueId val="{0000001C-FC87-49AD-B978-1580A410595E}"/>
                </c:ext>
              </c:extLst>
            </c:dLbl>
            <c:dLbl>
              <c:idx val="13"/>
              <c:delete val="1"/>
              <c:extLst>
                <c:ext xmlns:c15="http://schemas.microsoft.com/office/drawing/2012/chart" uri="{CE6537A1-D6FC-4f65-9D91-7224C49458BB}"/>
                <c:ext xmlns:c16="http://schemas.microsoft.com/office/drawing/2014/chart" uri="{C3380CC4-5D6E-409C-BE32-E72D297353CC}">
                  <c16:uniqueId val="{0000001B-FC87-49AD-B978-1580A410595E}"/>
                </c:ext>
              </c:extLst>
            </c:dLbl>
            <c:dLbl>
              <c:idx val="14"/>
              <c:layout>
                <c:manualLayout>
                  <c:x val="-7.4669666291713533E-3"/>
                  <c:y val="-4.0417322834645671E-3"/>
                </c:manualLayout>
              </c:layout>
              <c:numFmt formatCode="0.0%" sourceLinked="0"/>
              <c:spPr>
                <a:solidFill>
                  <a:srgbClr val="9FB8DB"/>
                </a:solidFill>
                <a:ln>
                  <a:noFill/>
                </a:ln>
                <a:effectLst/>
              </c:spPr>
              <c:txPr>
                <a:bodyPr wrap="square" lIns="38100" tIns="19050" rIns="38100" bIns="19050" anchor="ctr">
                  <a:spAutoFit/>
                </a:bodyPr>
                <a:lstStyle/>
                <a:p>
                  <a:pPr>
                    <a:defRPr b="1">
                      <a:solidFill>
                        <a:schemeClr val="bg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C87-49AD-B978-1580A410595E}"/>
                </c:ext>
              </c:extLst>
            </c:dLbl>
            <c:numFmt formatCode="0.0%" sourceLinked="0"/>
            <c:spPr>
              <a:solidFill>
                <a:srgbClr val="9FB8DB"/>
              </a:solid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9.6825547142857141E-2</c:v>
              </c:pt>
              <c:pt idx="1">
                <c:v>9.8872390000000032E-2</c:v>
              </c:pt>
              <c:pt idx="2">
                <c:v>0.10130631428571428</c:v>
              </c:pt>
              <c:pt idx="3">
                <c:v>0.10277736199999998</c:v>
              </c:pt>
              <c:pt idx="4">
                <c:v>9.9199792428571437E-2</c:v>
              </c:pt>
              <c:pt idx="5">
                <c:v>0.1008069187142857</c:v>
              </c:pt>
              <c:pt idx="6">
                <c:v>9.5067514999999977E-2</c:v>
              </c:pt>
              <c:pt idx="7">
                <c:v>9.3419102571428561E-2</c:v>
              </c:pt>
              <c:pt idx="8">
                <c:v>9.2917595857142862E-2</c:v>
              </c:pt>
              <c:pt idx="9">
                <c:v>9.4379843428571433E-2</c:v>
              </c:pt>
              <c:pt idx="10">
                <c:v>9.2516860142857149E-2</c:v>
              </c:pt>
              <c:pt idx="11">
                <c:v>9.3149304285714288E-2</c:v>
              </c:pt>
              <c:pt idx="12">
                <c:v>9.2232276285714274E-2</c:v>
              </c:pt>
              <c:pt idx="13">
                <c:v>9.3603233285714266E-2</c:v>
              </c:pt>
              <c:pt idx="14">
                <c:v>9.2085714285714299E-2</c:v>
              </c:pt>
            </c:numLit>
          </c:val>
          <c:smooth val="0"/>
          <c:extLst>
            <c:ext xmlns:c16="http://schemas.microsoft.com/office/drawing/2014/chart" uri="{C3380CC4-5D6E-409C-BE32-E72D297353CC}">
              <c16:uniqueId val="{0000000B-FC87-49AD-B978-1580A410595E}"/>
            </c:ext>
          </c:extLst>
        </c:ser>
        <c:dLbls>
          <c:showLegendKey val="0"/>
          <c:showVal val="0"/>
          <c:showCatName val="0"/>
          <c:showSerName val="0"/>
          <c:showPercent val="0"/>
          <c:showBubbleSize val="0"/>
        </c:dLbls>
        <c:smooth val="0"/>
        <c:axId val="525958184"/>
        <c:axId val="525960152"/>
      </c:lineChart>
      <c:catAx>
        <c:axId val="5259581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525960152"/>
        <c:crosses val="autoZero"/>
        <c:auto val="1"/>
        <c:lblAlgn val="ctr"/>
        <c:lblOffset val="100"/>
        <c:noMultiLvlLbl val="0"/>
      </c:catAx>
      <c:valAx>
        <c:axId val="525960152"/>
        <c:scaling>
          <c:orientation val="minMax"/>
          <c:min val="5.000000000000001E-2"/>
        </c:scaling>
        <c:delete val="0"/>
        <c:axPos val="l"/>
        <c:majorGridlines>
          <c:spPr>
            <a:ln w="9525" cap="flat" cmpd="sng" algn="ctr">
              <a:solidFill>
                <a:schemeClr val="tx1">
                  <a:lumMod val="15000"/>
                  <a:lumOff val="8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lumMod val="65000"/>
                        <a:lumOff val="35000"/>
                      </a:sysClr>
                    </a:solidFill>
                    <a:latin typeface="Myriad Pro" panose="020B0503030403020204" pitchFamily="34" charset="0"/>
                    <a:ea typeface="+mn-ea"/>
                    <a:cs typeface="+mn-cs"/>
                  </a:defRPr>
                </a:pPr>
                <a:r>
                  <a:rPr lang="en-US" sz="1100" b="0" i="0" baseline="0">
                    <a:effectLst/>
                  </a:rPr>
                  <a:t>State and local taxes as % of personal income</a:t>
                </a:r>
                <a:endParaRPr lang="en-US" sz="900">
                  <a:effectLst/>
                </a:endParaRPr>
              </a:p>
            </c:rich>
          </c:tx>
          <c:layout>
            <c:manualLayout>
              <c:xMode val="edge"/>
              <c:yMode val="edge"/>
              <c:x val="1.1838770153730785E-2"/>
              <c:y val="0.1991"/>
            </c:manualLayout>
          </c:layout>
          <c:overlay val="0"/>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525958184"/>
        <c:crosses val="autoZero"/>
        <c:crossBetween val="between"/>
      </c:valAx>
      <c:spPr>
        <a:noFill/>
        <a:ln>
          <a:noFill/>
        </a:ln>
        <a:effectLst/>
      </c:spPr>
    </c:plotArea>
    <c:legend>
      <c:legendPos val="t"/>
      <c:layout>
        <c:manualLayout>
          <c:xMode val="edge"/>
          <c:yMode val="edge"/>
          <c:x val="1.7631796025496746E-3"/>
          <c:y val="9.9266666666666684E-2"/>
          <c:w val="0.6155212598425196"/>
          <c:h val="6.7602362204724417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400" b="1">
                <a:solidFill>
                  <a:srgbClr val="972421"/>
                </a:solidFill>
              </a:rPr>
              <a:t>Gross production tax breaks cost the state $4 billion in the last 9 years</a:t>
            </a:r>
          </a:p>
        </c:rich>
      </c:tx>
      <c:layout>
        <c:manualLayout>
          <c:xMode val="edge"/>
          <c:yMode val="edge"/>
          <c:x val="1.4141732283464567E-3"/>
          <c:y val="0"/>
        </c:manualLayout>
      </c:layout>
      <c:overlay val="0"/>
      <c:spPr>
        <a:noFill/>
        <a:ln>
          <a:noFill/>
        </a:ln>
        <a:effectLst/>
      </c:spPr>
      <c:txPr>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manualLayout>
          <c:layoutTarget val="inner"/>
          <c:xMode val="edge"/>
          <c:yMode val="edge"/>
          <c:x val="0.18052583427071617"/>
          <c:y val="0.26894173228346457"/>
          <c:w val="0.79852178477690305"/>
          <c:h val="0.53221557305336831"/>
        </c:manualLayout>
      </c:layout>
      <c:barChart>
        <c:barDir val="col"/>
        <c:grouping val="clustered"/>
        <c:varyColors val="0"/>
        <c:ser>
          <c:idx val="0"/>
          <c:order val="0"/>
          <c:spPr>
            <a:solidFill>
              <a:srgbClr val="2F507F"/>
            </a:solidFill>
            <a:ln>
              <a:noFill/>
            </a:ln>
            <a:effectLst/>
          </c:spPr>
          <c:invertIfNegative val="0"/>
          <c:dLbls>
            <c:numFmt formatCode="[&gt;999999]&quot;$&quot;\ #,,&quot;M&quot;;#,&quot;K&quot;" sourceLinked="0"/>
            <c:spPr>
              <a:solidFill>
                <a:sysClr val="window" lastClr="FFFFFF"/>
              </a:solid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'4'!$G$6:$G$14</c:f>
              <c:numCache>
                <c:formatCode>_("$"* #,##0_);_("$"* \(#,##0\);_("$"* "-"??_);_(@_)</c:formatCode>
                <c:ptCount val="9"/>
                <c:pt idx="0">
                  <c:v>19037675.410000008</c:v>
                </c:pt>
                <c:pt idx="1">
                  <c:v>634023407.00000012</c:v>
                </c:pt>
                <c:pt idx="2">
                  <c:v>833422421.71000016</c:v>
                </c:pt>
                <c:pt idx="3">
                  <c:v>755657017.10000014</c:v>
                </c:pt>
                <c:pt idx="4">
                  <c:v>475288021.52000004</c:v>
                </c:pt>
                <c:pt idx="5">
                  <c:v>573162622.75000012</c:v>
                </c:pt>
                <c:pt idx="6">
                  <c:v>493646673.3684212</c:v>
                </c:pt>
                <c:pt idx="7">
                  <c:v>314807571.00000018</c:v>
                </c:pt>
                <c:pt idx="8">
                  <c:v>183021759.47368431</c:v>
                </c:pt>
              </c:numCache>
            </c:numRef>
          </c:val>
          <c:extLst>
            <c:ext xmlns:c16="http://schemas.microsoft.com/office/drawing/2014/chart" uri="{C3380CC4-5D6E-409C-BE32-E72D297353CC}">
              <c16:uniqueId val="{00000000-08DB-492C-8E72-DEA9E82E5D7D}"/>
            </c:ext>
          </c:extLst>
        </c:ser>
        <c:dLbls>
          <c:showLegendKey val="0"/>
          <c:showVal val="0"/>
          <c:showCatName val="0"/>
          <c:showSerName val="0"/>
          <c:showPercent val="0"/>
          <c:showBubbleSize val="0"/>
        </c:dLbls>
        <c:gapWidth val="40"/>
        <c:overlap val="-10"/>
        <c:axId val="219252479"/>
        <c:axId val="219247071"/>
      </c:barChart>
      <c:catAx>
        <c:axId val="21925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47071"/>
        <c:crosses val="autoZero"/>
        <c:auto val="1"/>
        <c:lblAlgn val="ctr"/>
        <c:lblOffset val="100"/>
        <c:noMultiLvlLbl val="0"/>
      </c:catAx>
      <c:valAx>
        <c:axId val="219247071"/>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r>
                  <a:rPr lang="en-US" sz="1100" b="0" i="0" baseline="0">
                    <a:effectLst/>
                  </a:rPr>
                  <a:t>Difference in actual collections</a:t>
                </a:r>
                <a:endParaRPr lang="en-US" sz="1100">
                  <a:effectLst/>
                </a:endParaRPr>
              </a:p>
              <a:p>
                <a:pPr>
                  <a:defRPr/>
                </a:pPr>
                <a:r>
                  <a:rPr lang="en-US" sz="1100" b="0" i="0" baseline="0">
                    <a:effectLst/>
                  </a:rPr>
                  <a:t> vs. 7% tax rate, in $millions</a:t>
                </a:r>
                <a:endParaRPr lang="en-US" sz="1100">
                  <a:effectLst/>
                </a:endParaRPr>
              </a:p>
            </c:rich>
          </c:tx>
          <c:layout>
            <c:manualLayout>
              <c:xMode val="edge"/>
              <c:yMode val="edge"/>
              <c:x val="1.5238095238095238E-2"/>
              <c:y val="0.275001312335957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title>
        <c:numFmt formatCode="[&gt;999999]&quot;$&quot;\ #,,&quot;M&quot;;#,&quot;K&quot;"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52479"/>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0">
                <a:solidFill>
                  <a:srgbClr val="757575"/>
                </a:solidFill>
                <a:latin typeface="+mn-lt"/>
              </a:defRPr>
            </a:pPr>
            <a:r>
              <a:rPr lang="en-US" b="0" baseline="0">
                <a:solidFill>
                  <a:srgbClr val="757575"/>
                </a:solidFill>
                <a:latin typeface="+mn-lt"/>
              </a:rPr>
              <a:t>Tax expenditures are cutting into state revenues</a:t>
            </a:r>
            <a:r>
              <a:rPr lang="en-US" b="0">
                <a:solidFill>
                  <a:srgbClr val="757575"/>
                </a:solidFill>
                <a:latin typeface="+mn-lt"/>
              </a:rPr>
              <a:t> </a:t>
            </a:r>
          </a:p>
        </c:rich>
      </c:tx>
      <c:overlay val="0"/>
    </c:title>
    <c:autoTitleDeleted val="0"/>
    <c:plotArea>
      <c:layout>
        <c:manualLayout>
          <c:layoutTarget val="inner"/>
          <c:xMode val="edge"/>
          <c:yMode val="edge"/>
          <c:x val="0.12269520010359716"/>
          <c:y val="0.20026092628832354"/>
          <c:w val="0.85524302693210286"/>
          <c:h val="0.52813124386848898"/>
        </c:manualLayout>
      </c:layout>
      <c:barChart>
        <c:barDir val="col"/>
        <c:grouping val="percentStacked"/>
        <c:varyColors val="1"/>
        <c:ser>
          <c:idx val="0"/>
          <c:order val="0"/>
          <c:tx>
            <c:strRef>
              <c:f>'5'!$L$33</c:f>
              <c:strCache>
                <c:ptCount val="1"/>
                <c:pt idx="0">
                  <c:v>Taxes Collected</c:v>
                </c:pt>
              </c:strCache>
            </c:strRef>
          </c:tx>
          <c:spPr>
            <a:solidFill>
              <a:srgbClr val="4285F4"/>
            </a:solidFill>
          </c:spPr>
          <c:invertIfNegative val="1"/>
          <c:dLbls>
            <c:dLbl>
              <c:idx val="0"/>
              <c:tx>
                <c:rich>
                  <a:bodyPr/>
                  <a:lstStyle/>
                  <a:p>
                    <a:fld id="{EBFE0797-6CA9-4544-9CCB-BE38CEB82F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7B-4F11-81C1-BF06C8C38DE4}"/>
                </c:ext>
              </c:extLst>
            </c:dLbl>
            <c:dLbl>
              <c:idx val="1"/>
              <c:tx>
                <c:rich>
                  <a:bodyPr/>
                  <a:lstStyle/>
                  <a:p>
                    <a:fld id="{A1C2CC79-3C99-4AB0-9405-E44F5A477C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7B-4F11-81C1-BF06C8C38DE4}"/>
                </c:ext>
              </c:extLst>
            </c:dLbl>
            <c:dLbl>
              <c:idx val="2"/>
              <c:tx>
                <c:rich>
                  <a:bodyPr/>
                  <a:lstStyle/>
                  <a:p>
                    <a:fld id="{5473866B-5626-4FDB-A9EF-6D0611C2BA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7B-4F11-81C1-BF06C8C38DE4}"/>
                </c:ext>
              </c:extLst>
            </c:dLbl>
            <c:dLbl>
              <c:idx val="3"/>
              <c:tx>
                <c:rich>
                  <a:bodyPr/>
                  <a:lstStyle/>
                  <a:p>
                    <a:fld id="{DF0417FA-247B-4933-AFDD-DD5933F0CD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7B-4F11-81C1-BF06C8C38DE4}"/>
                </c:ext>
              </c:extLst>
            </c:dLbl>
            <c:dLbl>
              <c:idx val="4"/>
              <c:tx>
                <c:rich>
                  <a:bodyPr/>
                  <a:lstStyle/>
                  <a:p>
                    <a:fld id="{1DD27140-ECB6-4469-B84B-1A5F742F80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7B-4F11-81C1-BF06C8C38DE4}"/>
                </c:ext>
              </c:extLst>
            </c:dLbl>
            <c:spPr>
              <a:solidFill>
                <a:schemeClr val="tx1"/>
              </a:solid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'5'!$K$34:$K$38</c:f>
              <c:numCache>
                <c:formatCode>General</c:formatCode>
                <c:ptCount val="5"/>
                <c:pt idx="0">
                  <c:v>2010</c:v>
                </c:pt>
                <c:pt idx="1">
                  <c:v>2012</c:v>
                </c:pt>
                <c:pt idx="2">
                  <c:v>2014</c:v>
                </c:pt>
                <c:pt idx="3">
                  <c:v>2016</c:v>
                </c:pt>
                <c:pt idx="4">
                  <c:v>2018</c:v>
                </c:pt>
              </c:numCache>
            </c:numRef>
          </c:cat>
          <c:val>
            <c:numRef>
              <c:f>'5'!$L$34:$L$38</c:f>
              <c:numCache>
                <c:formatCode>_("$"* #,##0.0_);_("$"* \(#,##0.0\);_("$"* "-"??_);_(@_)</c:formatCode>
                <c:ptCount val="5"/>
                <c:pt idx="0">
                  <c:v>9.2795802829999996</c:v>
                </c:pt>
                <c:pt idx="1">
                  <c:v>7.9374175530000004</c:v>
                </c:pt>
                <c:pt idx="2">
                  <c:v>11.765543824</c:v>
                </c:pt>
                <c:pt idx="3">
                  <c:v>11.670893867</c:v>
                </c:pt>
                <c:pt idx="4">
                  <c:v>12.891038140999999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5="http://schemas.microsoft.com/office/drawing/2012/chart" uri="{02D57815-91ED-43cb-92C2-25804820EDAC}">
              <c15:datalabelsRange>
                <c15:f>'5'!$O$34:$O$38</c15:f>
                <c15:dlblRangeCache>
                  <c:ptCount val="5"/>
                  <c:pt idx="0">
                    <c:v> $9.3/81% </c:v>
                  </c:pt>
                  <c:pt idx="1">
                    <c:v> $7.9/69% </c:v>
                  </c:pt>
                  <c:pt idx="2">
                    <c:v> $11.8/66% </c:v>
                  </c:pt>
                  <c:pt idx="3">
                    <c:v> $11.7/76% </c:v>
                  </c:pt>
                  <c:pt idx="4">
                    <c:v> $12.9/68% </c:v>
                  </c:pt>
                </c15:dlblRangeCache>
              </c15:datalabelsRange>
            </c:ext>
            <c:ext xmlns:c16="http://schemas.microsoft.com/office/drawing/2014/chart" uri="{C3380CC4-5D6E-409C-BE32-E72D297353CC}">
              <c16:uniqueId val="{00000005-EA7B-4F11-81C1-BF06C8C38DE4}"/>
            </c:ext>
          </c:extLst>
        </c:ser>
        <c:ser>
          <c:idx val="1"/>
          <c:order val="1"/>
          <c:tx>
            <c:v>Broad-based Tax Expenditures</c:v>
          </c:tx>
          <c:spPr>
            <a:solidFill>
              <a:srgbClr val="EA4335"/>
            </a:solidFill>
          </c:spPr>
          <c:invertIfNegative val="1"/>
          <c:dLbls>
            <c:dLbl>
              <c:idx val="0"/>
              <c:tx>
                <c:rich>
                  <a:bodyPr/>
                  <a:lstStyle/>
                  <a:p>
                    <a:fld id="{E1201281-AA65-4E82-887D-6ED84692BC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7B-4F11-81C1-BF06C8C38DE4}"/>
                </c:ext>
              </c:extLst>
            </c:dLbl>
            <c:dLbl>
              <c:idx val="1"/>
              <c:tx>
                <c:rich>
                  <a:bodyPr/>
                  <a:lstStyle/>
                  <a:p>
                    <a:fld id="{CA6EE959-943B-4D1B-A431-1B42DBBADD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7B-4F11-81C1-BF06C8C38DE4}"/>
                </c:ext>
              </c:extLst>
            </c:dLbl>
            <c:dLbl>
              <c:idx val="2"/>
              <c:tx>
                <c:rich>
                  <a:bodyPr/>
                  <a:lstStyle/>
                  <a:p>
                    <a:fld id="{D1E6C023-7002-4E0D-A3F8-9B69BFB2BE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7B-4F11-81C1-BF06C8C38DE4}"/>
                </c:ext>
              </c:extLst>
            </c:dLbl>
            <c:dLbl>
              <c:idx val="3"/>
              <c:tx>
                <c:rich>
                  <a:bodyPr/>
                  <a:lstStyle/>
                  <a:p>
                    <a:fld id="{3FAFDDF7-F58F-4163-879C-2A45523085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7B-4F11-81C1-BF06C8C38DE4}"/>
                </c:ext>
              </c:extLst>
            </c:dLbl>
            <c:dLbl>
              <c:idx val="4"/>
              <c:tx>
                <c:rich>
                  <a:bodyPr/>
                  <a:lstStyle/>
                  <a:p>
                    <a:fld id="{E4CD9367-031D-41E8-836E-DC90C04DCA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A7B-4F11-81C1-BF06C8C38DE4}"/>
                </c:ext>
              </c:extLst>
            </c:dLbl>
            <c:spPr>
              <a:solidFill>
                <a:schemeClr val="tx1"/>
              </a:solid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'5'!$K$34:$K$38</c:f>
              <c:numCache>
                <c:formatCode>General</c:formatCode>
                <c:ptCount val="5"/>
                <c:pt idx="0">
                  <c:v>2010</c:v>
                </c:pt>
                <c:pt idx="1">
                  <c:v>2012</c:v>
                </c:pt>
                <c:pt idx="2">
                  <c:v>2014</c:v>
                </c:pt>
                <c:pt idx="3">
                  <c:v>2016</c:v>
                </c:pt>
                <c:pt idx="4">
                  <c:v>2018</c:v>
                </c:pt>
              </c:numCache>
            </c:numRef>
          </c:cat>
          <c:val>
            <c:numRef>
              <c:f>'5'!$M$34:$M$38</c:f>
              <c:numCache>
                <c:formatCode>_("$"* #,##0.0_);_("$"* \(#,##0.0\);_("$"* "-"??_);_(@_)</c:formatCode>
                <c:ptCount val="5"/>
                <c:pt idx="0">
                  <c:v>1.5977940017947998</c:v>
                </c:pt>
                <c:pt idx="1">
                  <c:v>1.5329544325277995</c:v>
                </c:pt>
                <c:pt idx="2">
                  <c:v>1.7533340960550001</c:v>
                </c:pt>
                <c:pt idx="3">
                  <c:v>1.6393263389999992</c:v>
                </c:pt>
                <c:pt idx="4">
                  <c:v>1.5842200000000002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5="http://schemas.microsoft.com/office/drawing/2012/chart" uri="{02D57815-91ED-43cb-92C2-25804820EDAC}">
              <c15:datalabelsRange>
                <c15:f>'5'!$P$34:$P$38</c15:f>
                <c15:dlblRangeCache>
                  <c:ptCount val="5"/>
                  <c:pt idx="0">
                    <c:v> $1.6/14% </c:v>
                  </c:pt>
                  <c:pt idx="1">
                    <c:v> $1.5/13% </c:v>
                  </c:pt>
                  <c:pt idx="2">
                    <c:v> $1.8/10% </c:v>
                  </c:pt>
                  <c:pt idx="3">
                    <c:v> $1.6/11% </c:v>
                  </c:pt>
                  <c:pt idx="4">
                    <c:v> $1.6/8% </c:v>
                  </c:pt>
                </c15:dlblRangeCache>
              </c15:datalabelsRange>
            </c:ext>
            <c:ext xmlns:c16="http://schemas.microsoft.com/office/drawing/2014/chart" uri="{C3380CC4-5D6E-409C-BE32-E72D297353CC}">
              <c16:uniqueId val="{0000000B-EA7B-4F11-81C1-BF06C8C38DE4}"/>
            </c:ext>
          </c:extLst>
        </c:ser>
        <c:ser>
          <c:idx val="2"/>
          <c:order val="2"/>
          <c:tx>
            <c:v>Targeted Tax Expenditures</c:v>
          </c:tx>
          <c:invertIfNegative val="0"/>
          <c:dLbls>
            <c:dLbl>
              <c:idx val="0"/>
              <c:tx>
                <c:rich>
                  <a:bodyPr/>
                  <a:lstStyle/>
                  <a:p>
                    <a:fld id="{49FB8DA6-52A8-4991-B863-CC39C049C3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A7B-4F11-81C1-BF06C8C38DE4}"/>
                </c:ext>
              </c:extLst>
            </c:dLbl>
            <c:dLbl>
              <c:idx val="1"/>
              <c:tx>
                <c:rich>
                  <a:bodyPr/>
                  <a:lstStyle/>
                  <a:p>
                    <a:fld id="{BC9496A5-8D35-4EF2-B500-F41D9A448F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A7B-4F11-81C1-BF06C8C38DE4}"/>
                </c:ext>
              </c:extLst>
            </c:dLbl>
            <c:dLbl>
              <c:idx val="2"/>
              <c:tx>
                <c:rich>
                  <a:bodyPr/>
                  <a:lstStyle/>
                  <a:p>
                    <a:fld id="{3A989268-938C-4925-B811-0748883D54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A7B-4F11-81C1-BF06C8C38DE4}"/>
                </c:ext>
              </c:extLst>
            </c:dLbl>
            <c:dLbl>
              <c:idx val="3"/>
              <c:tx>
                <c:rich>
                  <a:bodyPr/>
                  <a:lstStyle/>
                  <a:p>
                    <a:fld id="{EF79530F-4D0D-4783-90E6-7ACD84B30A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A7B-4F11-81C1-BF06C8C38DE4}"/>
                </c:ext>
              </c:extLst>
            </c:dLbl>
            <c:dLbl>
              <c:idx val="4"/>
              <c:tx>
                <c:rich>
                  <a:bodyPr/>
                  <a:lstStyle/>
                  <a:p>
                    <a:fld id="{F5814540-E00C-478F-9AFE-589C442CC8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A7B-4F11-81C1-BF06C8C38DE4}"/>
                </c:ext>
              </c:extLst>
            </c:dLbl>
            <c:spPr>
              <a:solidFill>
                <a:schemeClr val="tx1"/>
              </a:solidFill>
              <a:ln>
                <a:noFill/>
              </a:ln>
              <a:effectLst/>
            </c:spPr>
            <c:txPr>
              <a:bodyPr wrap="square" lIns="38100" tIns="19050" rIns="38100" bIns="19050" anchor="ctr">
                <a:spAutoFit/>
              </a:bodyPr>
              <a:lstStyle/>
              <a:p>
                <a:pPr>
                  <a:defRPr baseline="0">
                    <a:solidFill>
                      <a:schemeClr val="bg1"/>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'5'!$K$34:$K$38</c:f>
              <c:numCache>
                <c:formatCode>General</c:formatCode>
                <c:ptCount val="5"/>
                <c:pt idx="0">
                  <c:v>2010</c:v>
                </c:pt>
                <c:pt idx="1">
                  <c:v>2012</c:v>
                </c:pt>
                <c:pt idx="2">
                  <c:v>2014</c:v>
                </c:pt>
                <c:pt idx="3">
                  <c:v>2016</c:v>
                </c:pt>
                <c:pt idx="4">
                  <c:v>2018</c:v>
                </c:pt>
              </c:numCache>
            </c:numRef>
          </c:cat>
          <c:val>
            <c:numRef>
              <c:f>'5'!$N$34:$N$38</c:f>
              <c:numCache>
                <c:formatCode>_("$"* #,##0.0_);_("$"* \(#,##0.0\);_("$"* "-"??_);_(@_)</c:formatCode>
                <c:ptCount val="5"/>
                <c:pt idx="0">
                  <c:v>0.52278574594890026</c:v>
                </c:pt>
                <c:pt idx="1">
                  <c:v>2.0788425012476006</c:v>
                </c:pt>
                <c:pt idx="2">
                  <c:v>4.310751641281799</c:v>
                </c:pt>
                <c:pt idx="3">
                  <c:v>1.9772634310149995</c:v>
                </c:pt>
                <c:pt idx="4">
                  <c:v>4.3999071819999998</c:v>
                </c:pt>
              </c:numCache>
            </c:numRef>
          </c:val>
          <c:extLst>
            <c:ext xmlns:c15="http://schemas.microsoft.com/office/drawing/2012/chart" uri="{02D57815-91ED-43cb-92C2-25804820EDAC}">
              <c15:datalabelsRange>
                <c15:f>'5'!$Q$34:$Q$38</c15:f>
                <c15:dlblRangeCache>
                  <c:ptCount val="5"/>
                  <c:pt idx="0">
                    <c:v> $0.5/5% </c:v>
                  </c:pt>
                  <c:pt idx="1">
                    <c:v> $2.1/18% </c:v>
                  </c:pt>
                  <c:pt idx="2">
                    <c:v> $4.3/24% </c:v>
                  </c:pt>
                  <c:pt idx="3">
                    <c:v> $2.0/13% </c:v>
                  </c:pt>
                  <c:pt idx="4">
                    <c:v> $4.4/23% </c:v>
                  </c:pt>
                </c15:dlblRangeCache>
              </c15:datalabelsRange>
            </c:ext>
            <c:ext xmlns:c16="http://schemas.microsoft.com/office/drawing/2014/chart" uri="{C3380CC4-5D6E-409C-BE32-E72D297353CC}">
              <c16:uniqueId val="{00000011-EA7B-4F11-81C1-BF06C8C38DE4}"/>
            </c:ext>
          </c:extLst>
        </c:ser>
        <c:dLbls>
          <c:showLegendKey val="0"/>
          <c:showVal val="0"/>
          <c:showCatName val="0"/>
          <c:showSerName val="0"/>
          <c:showPercent val="0"/>
          <c:showBubbleSize val="0"/>
        </c:dLbls>
        <c:gapWidth val="150"/>
        <c:overlap val="100"/>
        <c:axId val="1738510517"/>
        <c:axId val="1458773329"/>
      </c:barChart>
      <c:catAx>
        <c:axId val="1738510517"/>
        <c:scaling>
          <c:orientation val="minMax"/>
        </c:scaling>
        <c:delete val="0"/>
        <c:axPos val="b"/>
        <c:title>
          <c:tx>
            <c:rich>
              <a:bodyPr/>
              <a:lstStyle/>
              <a:p>
                <a:pPr>
                  <a:defRPr/>
                </a:pPr>
                <a:r>
                  <a:rPr lang="en-US"/>
                  <a:t>Fiscal 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458773329"/>
        <c:crosses val="autoZero"/>
        <c:auto val="1"/>
        <c:lblAlgn val="ctr"/>
        <c:lblOffset val="100"/>
        <c:noMultiLvlLbl val="1"/>
      </c:catAx>
      <c:valAx>
        <c:axId val="14587733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r>
                  <a:rPr lang="en-US"/>
                  <a:t>Percent of taxes collected &amp; expended</a:t>
                </a: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1738510517"/>
        <c:crosses val="autoZero"/>
        <c:crossBetween val="between"/>
      </c:valAx>
    </c:plotArea>
    <c:legend>
      <c:legendPos val="b"/>
      <c:layout>
        <c:manualLayout>
          <c:xMode val="edge"/>
          <c:yMode val="edge"/>
          <c:x val="0.24640663148153413"/>
          <c:y val="0.83744472009491966"/>
          <c:w val="0.75359336851846592"/>
          <c:h val="5.5653060490726332E-2"/>
        </c:manualLayout>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2400" b="1" i="0" baseline="0">
                <a:solidFill>
                  <a:srgbClr val="972421"/>
                </a:solidFill>
                <a:effectLst/>
              </a:rPr>
              <a:t>Just over half of taxes are collected after tax expenditures </a:t>
            </a:r>
            <a:endParaRPr lang="en-US" sz="1800" b="1">
              <a:solidFill>
                <a:srgbClr val="972421"/>
              </a:solidFill>
              <a:effectLst/>
            </a:endParaRPr>
          </a:p>
        </c:rich>
      </c:tx>
      <c:layout>
        <c:manualLayout>
          <c:xMode val="edge"/>
          <c:yMode val="edge"/>
          <c:x val="1.1681527173724195E-3"/>
          <c:y val="0"/>
        </c:manualLayout>
      </c:layout>
      <c:overlay val="0"/>
    </c:title>
    <c:autoTitleDeleted val="0"/>
    <c:plotArea>
      <c:layout>
        <c:manualLayout>
          <c:layoutTarget val="inner"/>
          <c:xMode val="edge"/>
          <c:yMode val="edge"/>
          <c:x val="0.13095268091488563"/>
          <c:y val="0.33499795858850973"/>
          <c:w val="0.83849178852643402"/>
          <c:h val="0.45193374161563138"/>
        </c:manualLayout>
      </c:layout>
      <c:barChart>
        <c:barDir val="col"/>
        <c:grouping val="stacked"/>
        <c:varyColors val="0"/>
        <c:ser>
          <c:idx val="0"/>
          <c:order val="0"/>
          <c:tx>
            <c:strRef>
              <c:f>'5'!$L$6</c:f>
              <c:strCache>
                <c:ptCount val="1"/>
                <c:pt idx="0">
                  <c:v>Taxes Collected</c:v>
                </c:pt>
              </c:strCache>
            </c:strRef>
          </c:tx>
          <c:spPr>
            <a:solidFill>
              <a:srgbClr val="2F507F"/>
            </a:solidFill>
          </c:spPr>
          <c:invertIfNegative val="0"/>
          <c:dLbls>
            <c:dLbl>
              <c:idx val="0"/>
              <c:tx>
                <c:rich>
                  <a:bodyPr/>
                  <a:lstStyle/>
                  <a:p>
                    <a:fld id="{7B772A19-3ECA-4B48-A94A-1509D2D32C6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CE9-48A0-8CE5-7ED9B884E942}"/>
                </c:ext>
              </c:extLst>
            </c:dLbl>
            <c:dLbl>
              <c:idx val="1"/>
              <c:tx>
                <c:rich>
                  <a:bodyPr/>
                  <a:lstStyle/>
                  <a:p>
                    <a:fld id="{346D5216-009A-4A26-9C55-288C1D49E02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CE9-48A0-8CE5-7ED9B884E942}"/>
                </c:ext>
              </c:extLst>
            </c:dLbl>
            <c:dLbl>
              <c:idx val="2"/>
              <c:tx>
                <c:rich>
                  <a:bodyPr/>
                  <a:lstStyle/>
                  <a:p>
                    <a:fld id="{E5CAA4CB-C01F-4AAF-AE13-0A88F8BFB0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CE9-48A0-8CE5-7ED9B884E942}"/>
                </c:ext>
              </c:extLst>
            </c:dLbl>
            <c:dLbl>
              <c:idx val="3"/>
              <c:tx>
                <c:rich>
                  <a:bodyPr/>
                  <a:lstStyle/>
                  <a:p>
                    <a:fld id="{3EC85F86-E143-439C-9DE1-42C86CCF75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CE9-48A0-8CE5-7ED9B884E942}"/>
                </c:ext>
              </c:extLst>
            </c:dLbl>
            <c:dLbl>
              <c:idx val="4"/>
              <c:tx>
                <c:rich>
                  <a:bodyPr/>
                  <a:lstStyle/>
                  <a:p>
                    <a:fld id="{3C1698E5-6376-4024-BC32-AC671ECAB9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4CE9-48A0-8CE5-7ED9B884E942}"/>
                </c:ext>
              </c:extLst>
            </c:dLbl>
            <c:numFmt formatCode="\$#,##0" sourceLinked="0"/>
            <c:spPr>
              <a:noFill/>
              <a:ln w="25400">
                <a:noFill/>
              </a:ln>
            </c:spPr>
            <c:txPr>
              <a:bodyPr wrap="square" lIns="38100" tIns="19050" rIns="38100" bIns="19050" anchor="ctr">
                <a:spAutoFit/>
              </a:bodyPr>
              <a:lstStyle/>
              <a:p>
                <a:pPr>
                  <a:defRPr sz="1200" b="1">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Lit>
              <c:formatCode>General</c:formatCode>
              <c:ptCount val="5"/>
              <c:pt idx="0">
                <c:v>2010</c:v>
              </c:pt>
              <c:pt idx="1">
                <c:v>2012</c:v>
              </c:pt>
              <c:pt idx="2">
                <c:v>2014</c:v>
              </c:pt>
              <c:pt idx="3">
                <c:v>2016</c:v>
              </c:pt>
              <c:pt idx="4">
                <c:v>2018</c:v>
              </c:pt>
            </c:numLit>
          </c:cat>
          <c:val>
            <c:numRef>
              <c:f>'5'!$G$7:$G$11</c:f>
              <c:numCache>
                <c:formatCode>0%</c:formatCode>
                <c:ptCount val="5"/>
                <c:pt idx="0">
                  <c:v>0.60423209920010312</c:v>
                </c:pt>
                <c:pt idx="1">
                  <c:v>0.47359534914471724</c:v>
                </c:pt>
                <c:pt idx="2">
                  <c:v>0.52367672937267362</c:v>
                </c:pt>
                <c:pt idx="3">
                  <c:v>0.53045426721161293</c:v>
                </c:pt>
                <c:pt idx="4">
                  <c:v>0.51700181276995183</c:v>
                </c:pt>
              </c:numCache>
            </c:numRef>
          </c:val>
          <c:extLst>
            <c:ext xmlns:c15="http://schemas.microsoft.com/office/drawing/2012/chart" uri="{02D57815-91ED-43cb-92C2-25804820EDAC}">
              <c15:datalabelsRange>
                <c15:f>'5'!$O$7:$O$11</c15:f>
                <c15:dlblRangeCache>
                  <c:ptCount val="5"/>
                  <c:pt idx="0">
                    <c:v> $9.3/60% </c:v>
                  </c:pt>
                  <c:pt idx="1">
                    <c:v> $7.9/47% </c:v>
                  </c:pt>
                  <c:pt idx="2">
                    <c:v> $11.8/52% </c:v>
                  </c:pt>
                  <c:pt idx="3">
                    <c:v> $11.7/53% </c:v>
                  </c:pt>
                  <c:pt idx="4">
                    <c:v> $12.9/52% </c:v>
                  </c:pt>
                </c15:dlblRangeCache>
              </c15:datalabelsRange>
            </c:ext>
            <c:ext xmlns:c16="http://schemas.microsoft.com/office/drawing/2014/chart" uri="{C3380CC4-5D6E-409C-BE32-E72D297353CC}">
              <c16:uniqueId val="{00000000-D225-4862-B850-EC379598FB91}"/>
            </c:ext>
          </c:extLst>
        </c:ser>
        <c:ser>
          <c:idx val="2"/>
          <c:order val="1"/>
          <c:tx>
            <c:v>Broad-based Tax Expenditures</c:v>
          </c:tx>
          <c:spPr>
            <a:solidFill>
              <a:srgbClr val="9FB8DB"/>
            </a:solidFill>
          </c:spPr>
          <c:invertIfNegative val="0"/>
          <c:dLbls>
            <c:dLbl>
              <c:idx val="0"/>
              <c:tx>
                <c:rich>
                  <a:bodyPr/>
                  <a:lstStyle/>
                  <a:p>
                    <a:fld id="{BD67EDBD-D641-457A-83F8-C18D625C90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4CE9-48A0-8CE5-7ED9B884E942}"/>
                </c:ext>
              </c:extLst>
            </c:dLbl>
            <c:dLbl>
              <c:idx val="1"/>
              <c:tx>
                <c:rich>
                  <a:bodyPr/>
                  <a:lstStyle/>
                  <a:p>
                    <a:fld id="{D66144A5-A6BA-4818-A1A8-D97A7A5D50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4CE9-48A0-8CE5-7ED9B884E942}"/>
                </c:ext>
              </c:extLst>
            </c:dLbl>
            <c:dLbl>
              <c:idx val="2"/>
              <c:tx>
                <c:rich>
                  <a:bodyPr/>
                  <a:lstStyle/>
                  <a:p>
                    <a:fld id="{9C2463D6-A733-46A2-9CE3-C58AF63BA8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4CE9-48A0-8CE5-7ED9B884E942}"/>
                </c:ext>
              </c:extLst>
            </c:dLbl>
            <c:dLbl>
              <c:idx val="3"/>
              <c:tx>
                <c:rich>
                  <a:bodyPr/>
                  <a:lstStyle/>
                  <a:p>
                    <a:fld id="{997AD833-81E7-4989-96D5-0A8CB3068A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4CE9-48A0-8CE5-7ED9B884E942}"/>
                </c:ext>
              </c:extLst>
            </c:dLbl>
            <c:dLbl>
              <c:idx val="4"/>
              <c:tx>
                <c:rich>
                  <a:bodyPr/>
                  <a:lstStyle/>
                  <a:p>
                    <a:fld id="{25885CB9-4100-4EF8-8E1B-9EACF05CBA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4CE9-48A0-8CE5-7ED9B884E942}"/>
                </c:ext>
              </c:extLst>
            </c:dLbl>
            <c:numFmt formatCode="\$#,##0" sourceLinked="0"/>
            <c:spPr>
              <a:noFill/>
              <a:ln w="25400">
                <a:noFill/>
              </a:ln>
            </c:spPr>
            <c:txPr>
              <a:bodyPr wrap="square" lIns="38100" tIns="19050" rIns="38100" bIns="19050" anchor="ctr">
                <a:spAutoFit/>
              </a:bodyPr>
              <a:lstStyle/>
              <a:p>
                <a:pPr>
                  <a:defRPr sz="1200" b="1">
                    <a:solidFill>
                      <a:schemeClr val="bg1"/>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Lit>
              <c:formatCode>General</c:formatCode>
              <c:ptCount val="5"/>
              <c:pt idx="0">
                <c:v>2010</c:v>
              </c:pt>
              <c:pt idx="1">
                <c:v>2012</c:v>
              </c:pt>
              <c:pt idx="2">
                <c:v>2014</c:v>
              </c:pt>
              <c:pt idx="3">
                <c:v>2016</c:v>
              </c:pt>
              <c:pt idx="4">
                <c:v>2018</c:v>
              </c:pt>
            </c:numLit>
          </c:cat>
          <c:val>
            <c:numRef>
              <c:f>'5'!$H$7:$H$11</c:f>
              <c:numCache>
                <c:formatCode>0%</c:formatCode>
                <c:ptCount val="5"/>
                <c:pt idx="0">
                  <c:v>0.36172714474487483</c:v>
                </c:pt>
                <c:pt idx="1">
                  <c:v>0.40236806923143648</c:v>
                </c:pt>
                <c:pt idx="2">
                  <c:v>0.28445450923276278</c:v>
                </c:pt>
                <c:pt idx="3">
                  <c:v>0.379677052948101</c:v>
                </c:pt>
                <c:pt idx="4">
                  <c:v>0.30653761328459939</c:v>
                </c:pt>
              </c:numCache>
            </c:numRef>
          </c:val>
          <c:extLst>
            <c:ext xmlns:c15="http://schemas.microsoft.com/office/drawing/2012/chart" uri="{02D57815-91ED-43cb-92C2-25804820EDAC}">
              <c15:datalabelsRange>
                <c15:f>'5'!$P$7:$P$11</c15:f>
                <c15:dlblRangeCache>
                  <c:ptCount val="5"/>
                  <c:pt idx="0">
                    <c:v> $5.6/36% </c:v>
                  </c:pt>
                  <c:pt idx="1">
                    <c:v> $6.7/40% </c:v>
                  </c:pt>
                  <c:pt idx="2">
                    <c:v> $6.4/28% </c:v>
                  </c:pt>
                  <c:pt idx="3">
                    <c:v> $8.4/38% </c:v>
                  </c:pt>
                  <c:pt idx="4">
                    <c:v> $7.6/31% </c:v>
                  </c:pt>
                </c15:dlblRangeCache>
              </c15:datalabelsRange>
            </c:ext>
            <c:ext xmlns:c16="http://schemas.microsoft.com/office/drawing/2014/chart" uri="{C3380CC4-5D6E-409C-BE32-E72D297353CC}">
              <c16:uniqueId val="{00000001-D225-4862-B850-EC379598FB91}"/>
            </c:ext>
          </c:extLst>
        </c:ser>
        <c:ser>
          <c:idx val="3"/>
          <c:order val="2"/>
          <c:tx>
            <c:v>Targeted Tax Expenditures</c:v>
          </c:tx>
          <c:spPr>
            <a:solidFill>
              <a:srgbClr val="FFFFFF">
                <a:lumMod val="65000"/>
              </a:srgbClr>
            </a:solidFill>
          </c:spPr>
          <c:invertIfNegative val="0"/>
          <c:dPt>
            <c:idx val="19"/>
            <c:invertIfNegative val="0"/>
            <c:bubble3D val="0"/>
            <c:extLst>
              <c:ext xmlns:c16="http://schemas.microsoft.com/office/drawing/2014/chart" uri="{C3380CC4-5D6E-409C-BE32-E72D297353CC}">
                <c16:uniqueId val="{00000003-D225-4862-B850-EC379598FB91}"/>
              </c:ext>
            </c:extLst>
          </c:dPt>
          <c:dPt>
            <c:idx val="20"/>
            <c:invertIfNegative val="0"/>
            <c:bubble3D val="0"/>
            <c:extLst>
              <c:ext xmlns:c16="http://schemas.microsoft.com/office/drawing/2014/chart" uri="{C3380CC4-5D6E-409C-BE32-E72D297353CC}">
                <c16:uniqueId val="{00000002-EEB0-4E0C-95AA-A22E73FA2022}"/>
              </c:ext>
            </c:extLst>
          </c:dPt>
          <c:dLbls>
            <c:dLbl>
              <c:idx val="0"/>
              <c:layout>
                <c:manualLayout>
                  <c:x val="2.0056157240272579E-3"/>
                  <c:y val="6.5231572080887146E-3"/>
                </c:manualLayout>
              </c:layout>
              <c:tx>
                <c:rich>
                  <a:bodyPr/>
                  <a:lstStyle/>
                  <a:p>
                    <a:fld id="{1B772F5B-CA50-44D8-A9BE-6EC22337DB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CE9-48A0-8CE5-7ED9B884E942}"/>
                </c:ext>
              </c:extLst>
            </c:dLbl>
            <c:dLbl>
              <c:idx val="1"/>
              <c:tx>
                <c:rich>
                  <a:bodyPr/>
                  <a:lstStyle/>
                  <a:p>
                    <a:fld id="{89C3F0B4-2976-430F-AA87-DF1DBE399D7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4CE9-48A0-8CE5-7ED9B884E942}"/>
                </c:ext>
              </c:extLst>
            </c:dLbl>
            <c:dLbl>
              <c:idx val="2"/>
              <c:tx>
                <c:rich>
                  <a:bodyPr/>
                  <a:lstStyle/>
                  <a:p>
                    <a:fld id="{3385CCBF-3B78-4296-9075-6D2C5929B80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4CE9-48A0-8CE5-7ED9B884E942}"/>
                </c:ext>
              </c:extLst>
            </c:dLbl>
            <c:dLbl>
              <c:idx val="3"/>
              <c:tx>
                <c:rich>
                  <a:bodyPr/>
                  <a:lstStyle/>
                  <a:p>
                    <a:fld id="{03AE4A00-0C78-4582-82D6-8EAE23EC0E4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4CE9-48A0-8CE5-7ED9B884E942}"/>
                </c:ext>
              </c:extLst>
            </c:dLbl>
            <c:dLbl>
              <c:idx val="4"/>
              <c:tx>
                <c:rich>
                  <a:bodyPr/>
                  <a:lstStyle/>
                  <a:p>
                    <a:fld id="{9ED0768E-ECE4-4BC9-9C8C-0C662ACB76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4CE9-48A0-8CE5-7ED9B884E942}"/>
                </c:ext>
              </c:extLst>
            </c:dLbl>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val>
            <c:numRef>
              <c:f>'5'!$I$7:$I$11</c:f>
              <c:numCache>
                <c:formatCode>0%</c:formatCode>
                <c:ptCount val="5"/>
                <c:pt idx="0">
                  <c:v>3.4040756055022083E-2</c:v>
                </c:pt>
                <c:pt idx="1">
                  <c:v>0.12403658162384627</c:v>
                </c:pt>
                <c:pt idx="2">
                  <c:v>0.1918687613945636</c:v>
                </c:pt>
                <c:pt idx="3">
                  <c:v>8.9868679840286056E-2</c:v>
                </c:pt>
                <c:pt idx="4">
                  <c:v>0.17646057394544873</c:v>
                </c:pt>
              </c:numCache>
            </c:numRef>
          </c:val>
          <c:extLst>
            <c:ext xmlns:c15="http://schemas.microsoft.com/office/drawing/2012/chart" uri="{02D57815-91ED-43cb-92C2-25804820EDAC}">
              <c15:datalabelsRange>
                <c15:f>'5'!$Q$7:$Q$11</c15:f>
                <c15:dlblRangeCache>
                  <c:ptCount val="5"/>
                  <c:pt idx="0">
                    <c:v> $0.5/3% </c:v>
                  </c:pt>
                  <c:pt idx="1">
                    <c:v> $2.1/12% </c:v>
                  </c:pt>
                  <c:pt idx="2">
                    <c:v> $4.3/19% </c:v>
                  </c:pt>
                  <c:pt idx="3">
                    <c:v> $2.0/9% </c:v>
                  </c:pt>
                  <c:pt idx="4">
                    <c:v> $4.4/18% </c:v>
                  </c:pt>
                </c15:dlblRangeCache>
              </c15:datalabelsRange>
            </c:ext>
            <c:ext xmlns:c16="http://schemas.microsoft.com/office/drawing/2014/chart" uri="{C3380CC4-5D6E-409C-BE32-E72D297353CC}">
              <c16:uniqueId val="{00000004-D225-4862-B850-EC379598FB91}"/>
            </c:ext>
          </c:extLst>
        </c:ser>
        <c:dLbls>
          <c:showLegendKey val="0"/>
          <c:showVal val="0"/>
          <c:showCatName val="0"/>
          <c:showSerName val="0"/>
          <c:showPercent val="0"/>
          <c:showBubbleSize val="0"/>
        </c:dLbls>
        <c:gapWidth val="40"/>
        <c:overlap val="100"/>
        <c:axId val="315574511"/>
        <c:axId val="1"/>
      </c:barChart>
      <c:catAx>
        <c:axId val="315574511"/>
        <c:scaling>
          <c:orientation val="minMax"/>
        </c:scaling>
        <c:delete val="0"/>
        <c:axPos val="b"/>
        <c:title>
          <c:tx>
            <c:rich>
              <a:bodyPr/>
              <a:lstStyle/>
              <a:p>
                <a:pPr>
                  <a:defRPr/>
                </a:pPr>
                <a:r>
                  <a:rPr lang="en-US">
                    <a:solidFill>
                      <a:schemeClr val="tx1">
                        <a:lumMod val="65000"/>
                        <a:lumOff val="35000"/>
                      </a:schemeClr>
                    </a:solidFill>
                  </a:rPr>
                  <a:t>Fiscal Year</a:t>
                </a:r>
              </a:p>
            </c:rich>
          </c:tx>
          <c:layout>
            <c:manualLayout>
              <c:xMode val="edge"/>
              <c:yMode val="edge"/>
              <c:x val="0.49650333708286465"/>
              <c:y val="0.84779609215514717"/>
            </c:manualLayout>
          </c:layout>
          <c:overlay val="0"/>
        </c:title>
        <c:numFmt formatCode="General" sourceLinked="1"/>
        <c:majorTickMark val="out"/>
        <c:minorTickMark val="none"/>
        <c:tickLblPos val="nextTo"/>
        <c:spPr>
          <a:ln>
            <a:solidFill>
              <a:srgbClr val="FFFFFF">
                <a:lumMod val="85000"/>
              </a:srgbClr>
            </a:solidFill>
          </a:ln>
        </c:spPr>
        <c:txPr>
          <a:bodyPr rot="0" vert="horz"/>
          <a:lstStyle/>
          <a:p>
            <a:pPr>
              <a:defRPr>
                <a:solidFill>
                  <a:schemeClr val="tx1">
                    <a:lumMod val="65000"/>
                    <a:lumOff val="35000"/>
                  </a:schemeClr>
                </a:solidFill>
              </a:defRPr>
            </a:pPr>
            <a:endParaRPr lang="en-US"/>
          </a:p>
        </c:txPr>
        <c:crossAx val="1"/>
        <c:crosses val="autoZero"/>
        <c:auto val="1"/>
        <c:lblAlgn val="ctr"/>
        <c:lblOffset val="100"/>
        <c:noMultiLvlLbl val="0"/>
      </c:catAx>
      <c:valAx>
        <c:axId val="1"/>
        <c:scaling>
          <c:orientation val="minMax"/>
          <c:max val="1"/>
        </c:scaling>
        <c:delete val="0"/>
        <c:axPos val="l"/>
        <c:majorGridlines>
          <c:spPr>
            <a:ln>
              <a:solidFill>
                <a:srgbClr val="FFFFFF">
                  <a:lumMod val="85000"/>
                </a:srgbClr>
              </a:solidFill>
            </a:ln>
          </c:spPr>
        </c:majorGridlines>
        <c:title>
          <c:tx>
            <c:rich>
              <a:bodyPr/>
              <a:lstStyle/>
              <a:p>
                <a:pPr>
                  <a:defRPr>
                    <a:solidFill>
                      <a:schemeClr val="tx1">
                        <a:lumMod val="65000"/>
                        <a:lumOff val="35000"/>
                      </a:schemeClr>
                    </a:solidFill>
                  </a:defRPr>
                </a:pPr>
                <a:r>
                  <a:rPr lang="en-US" sz="1100" b="0" i="0" baseline="0">
                    <a:solidFill>
                      <a:schemeClr val="tx1">
                        <a:lumMod val="65000"/>
                        <a:lumOff val="35000"/>
                      </a:schemeClr>
                    </a:solidFill>
                    <a:effectLst/>
                  </a:rPr>
                  <a:t>Percent of taxes collected &amp; expended</a:t>
                </a:r>
                <a:endParaRPr lang="en-US" sz="900" b="0">
                  <a:solidFill>
                    <a:schemeClr val="tx1">
                      <a:lumMod val="65000"/>
                      <a:lumOff val="35000"/>
                    </a:schemeClr>
                  </a:solidFill>
                  <a:effectLst/>
                </a:endParaRPr>
              </a:p>
            </c:rich>
          </c:tx>
          <c:layout>
            <c:manualLayout>
              <c:xMode val="edge"/>
              <c:yMode val="edge"/>
              <c:x val="1.5238095238095238E-2"/>
              <c:y val="0.30128947214931467"/>
            </c:manualLayout>
          </c:layout>
          <c:overlay val="0"/>
        </c:title>
        <c:numFmt formatCode="0%" sourceLinked="0"/>
        <c:majorTickMark val="out"/>
        <c:minorTickMark val="none"/>
        <c:tickLblPos val="nextTo"/>
        <c:spPr>
          <a:ln>
            <a:solidFill>
              <a:srgbClr val="FFFFFF">
                <a:lumMod val="85000"/>
              </a:srgbClr>
            </a:solidFill>
          </a:ln>
        </c:spPr>
        <c:txPr>
          <a:bodyPr rot="0" vert="horz"/>
          <a:lstStyle/>
          <a:p>
            <a:pPr>
              <a:defRPr>
                <a:solidFill>
                  <a:schemeClr val="tx1">
                    <a:lumMod val="65000"/>
                    <a:lumOff val="35000"/>
                  </a:schemeClr>
                </a:solidFill>
              </a:defRPr>
            </a:pPr>
            <a:endParaRPr lang="en-US"/>
          </a:p>
        </c:txPr>
        <c:crossAx val="315574511"/>
        <c:crosses val="autoZero"/>
        <c:crossBetween val="between"/>
      </c:valAx>
      <c:spPr>
        <a:noFill/>
      </c:spPr>
    </c:plotArea>
    <c:legend>
      <c:legendPos val="t"/>
      <c:layout>
        <c:manualLayout>
          <c:xMode val="edge"/>
          <c:yMode val="edge"/>
          <c:x val="7.619047619047619E-3"/>
          <c:y val="0.18597305336832892"/>
          <c:w val="0.71333333333333337"/>
          <c:h val="6.0090988626421704E-2"/>
        </c:manualLayout>
      </c:layout>
      <c:overlay val="0"/>
      <c:txPr>
        <a:bodyPr/>
        <a:lstStyle/>
        <a:p>
          <a:pPr>
            <a:defRPr sz="1100">
              <a:solidFill>
                <a:schemeClr val="tx1">
                  <a:lumMod val="65000"/>
                  <a:lumOff val="35000"/>
                </a:schemeClr>
              </a:solidFill>
            </a:defRPr>
          </a:pPr>
          <a:endParaRPr lang="en-US"/>
        </a:p>
      </c:txPr>
    </c:legend>
    <c:plotVisOnly val="1"/>
    <c:dispBlanksAs val="gap"/>
    <c:showDLblsOverMax val="0"/>
  </c:chart>
  <c:spPr>
    <a:solidFill>
      <a:srgbClr val="FFFFFF"/>
    </a:solidFill>
    <a:ln>
      <a:noFill/>
    </a:ln>
  </c:spPr>
  <c:txPr>
    <a:bodyPr/>
    <a:lstStyle/>
    <a:p>
      <a:pPr>
        <a:defRPr sz="1200" b="0" i="0" u="none" strike="noStrike" baseline="0">
          <a:solidFill>
            <a:srgbClr val="000000"/>
          </a:solidFill>
          <a:latin typeface="Myriad Pro" panose="020B0503030403020204" pitchFamily="34" charset="0"/>
          <a:ea typeface="Calibri"/>
          <a:cs typeface="Calibri"/>
        </a:defRPr>
      </a:pPr>
      <a:endParaRPr lang="en-US"/>
    </a:p>
  </c:txPr>
  <c:printSettings>
    <c:headerFooter/>
    <c:pageMargins b="0.75" l="0.7" r="0.7" t="0.75" header="0.3" footer="0.3"/>
    <c:pageSetup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2400" b="1" i="0" u="none" strike="noStrike" kern="1200" spc="0" baseline="0">
                <a:solidFill>
                  <a:srgbClr val="972421"/>
                </a:solidFill>
                <a:latin typeface="Myriad Pro" panose="020B0503030403020204" pitchFamily="34" charset="0"/>
                <a:ea typeface="+mn-ea"/>
                <a:cs typeface="+mn-cs"/>
              </a:defRPr>
            </a:pPr>
            <a:r>
              <a:rPr lang="en-US" sz="2400" b="1">
                <a:solidFill>
                  <a:srgbClr val="972421"/>
                </a:solidFill>
              </a:rPr>
              <a:t>Lower taxes and spending aren't boosting our economy</a:t>
            </a:r>
          </a:p>
        </c:rich>
      </c:tx>
      <c:layout>
        <c:manualLayout>
          <c:xMode val="edge"/>
          <c:yMode val="edge"/>
          <c:x val="1.4141732283464567E-3"/>
          <c:y val="0"/>
        </c:manualLayout>
      </c:layout>
      <c:overlay val="0"/>
      <c:spPr>
        <a:noFill/>
        <a:ln>
          <a:noFill/>
        </a:ln>
        <a:effectLst/>
      </c:spPr>
      <c:txPr>
        <a:bodyPr rot="0" spcFirstLastPara="1" vertOverflow="ellipsis" vert="horz" wrap="square" anchor="ctr" anchorCtr="1"/>
        <a:lstStyle/>
        <a:p>
          <a:pPr algn="l">
            <a:defRPr sz="2400" b="1" i="0" u="none" strike="noStrike" kern="1200" spc="0" baseline="0">
              <a:solidFill>
                <a:srgbClr val="972421"/>
              </a:solidFill>
              <a:latin typeface="Myriad Pro" panose="020B0503030403020204" pitchFamily="34" charset="0"/>
              <a:ea typeface="+mn-ea"/>
              <a:cs typeface="+mn-cs"/>
            </a:defRPr>
          </a:pPr>
          <a:endParaRPr lang="en-US"/>
        </a:p>
      </c:txPr>
    </c:title>
    <c:autoTitleDeleted val="0"/>
    <c:plotArea>
      <c:layout>
        <c:manualLayout>
          <c:layoutTarget val="inner"/>
          <c:xMode val="edge"/>
          <c:yMode val="edge"/>
          <c:x val="9.8402099737532805E-2"/>
          <c:y val="0.28523527559055117"/>
          <c:w val="0.88064551931008628"/>
          <c:h val="0.51368331948519363"/>
        </c:manualLayout>
      </c:layout>
      <c:barChart>
        <c:barDir val="col"/>
        <c:grouping val="clustered"/>
        <c:varyColors val="0"/>
        <c:ser>
          <c:idx val="0"/>
          <c:order val="0"/>
          <c:tx>
            <c:v>Oklahoma</c:v>
          </c:tx>
          <c:spPr>
            <a:solidFill>
              <a:srgbClr val="2F507F"/>
            </a:solidFill>
            <a:ln>
              <a:noFill/>
            </a:ln>
            <a:effectLst/>
          </c:spPr>
          <c:invertIfNegative val="0"/>
          <c:dLbls>
            <c:dLbl>
              <c:idx val="0"/>
              <c:layout>
                <c:manualLayout>
                  <c:x val="-1.8931965008735238E-3"/>
                  <c:y val="-5.1841649329977119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6.7142136438716846E-2"/>
                      <c:h val="3.3224796771318975E-2"/>
                    </c:manualLayout>
                  </c15:layout>
                </c:ext>
                <c:ext xmlns:c16="http://schemas.microsoft.com/office/drawing/2014/chart" uri="{C3380CC4-5D6E-409C-BE32-E72D297353CC}">
                  <c16:uniqueId val="{00000001-3C3F-47E4-8791-9875ECA26A45}"/>
                </c:ext>
              </c:extLst>
            </c:dLbl>
            <c:dLbl>
              <c:idx val="1"/>
              <c:layout>
                <c:manualLayout>
                  <c:x val="0"/>
                  <c:y val="1.0343152086745095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3F-47E4-8791-9875ECA26A45}"/>
                </c:ext>
              </c:extLst>
            </c:dLbl>
            <c:dLbl>
              <c:idx val="3"/>
              <c:layout>
                <c:manualLayout>
                  <c:x val="-1.9095246185837343E-3"/>
                  <c:y val="0"/>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3F-47E4-8791-9875ECA26A45}"/>
                </c:ext>
              </c:extLst>
            </c:dLbl>
            <c:dLbl>
              <c:idx val="4"/>
              <c:layout>
                <c:manualLayout>
                  <c:x val="-5.7448806556618373E-3"/>
                  <c:y val="-9.65695341460349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3F-47E4-8791-9875ECA26A45}"/>
                </c:ext>
              </c:extLst>
            </c:dLbl>
            <c:spPr>
              <a:solidFill>
                <a:srgbClr val="FFFFFF"/>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'7'!$B$81:$B$86</c:f>
              <c:strCache>
                <c:ptCount val="6"/>
                <c:pt idx="0">
                  <c:v>Taxes</c:v>
                </c:pt>
                <c:pt idx="1">
                  <c:v>Spending</c:v>
                </c:pt>
                <c:pt idx="2">
                  <c:v>Output</c:v>
                </c:pt>
                <c:pt idx="3">
                  <c:v>Output w/o oil/gas</c:v>
                </c:pt>
                <c:pt idx="4">
                  <c:v>Jobs</c:v>
                </c:pt>
                <c:pt idx="5">
                  <c:v>Income</c:v>
                </c:pt>
              </c:strCache>
            </c:strRef>
          </c:cat>
          <c:val>
            <c:numRef>
              <c:f>('7'!$E$10,'7'!$E$20,'7'!$E$31,'7'!$E$52,'7'!$E$63,'7'!$E$75)</c:f>
              <c:numCache>
                <c:formatCode>0.00%</c:formatCode>
                <c:ptCount val="6"/>
                <c:pt idx="0">
                  <c:v>-0.11968348170128584</c:v>
                </c:pt>
                <c:pt idx="1">
                  <c:v>-3.4682080924855363E-2</c:v>
                </c:pt>
                <c:pt idx="2">
                  <c:v>0.71611269608650785</c:v>
                </c:pt>
                <c:pt idx="3">
                  <c:v>0.52356901714699866</c:v>
                </c:pt>
                <c:pt idx="4">
                  <c:v>0.22763699371886514</c:v>
                </c:pt>
                <c:pt idx="5">
                  <c:v>0.1744107877254033</c:v>
                </c:pt>
              </c:numCache>
            </c:numRef>
          </c:val>
          <c:extLst>
            <c:ext xmlns:c16="http://schemas.microsoft.com/office/drawing/2014/chart" uri="{C3380CC4-5D6E-409C-BE32-E72D297353CC}">
              <c16:uniqueId val="{00000000-08DB-492C-8E72-DEA9E82E5D7D}"/>
            </c:ext>
          </c:extLst>
        </c:ser>
        <c:ser>
          <c:idx val="1"/>
          <c:order val="1"/>
          <c:tx>
            <c:v>Region</c:v>
          </c:tx>
          <c:spPr>
            <a:solidFill>
              <a:srgbClr val="9FB8DB"/>
            </a:solidFill>
            <a:ln>
              <a:noFill/>
            </a:ln>
            <a:effectLst/>
          </c:spPr>
          <c:invertIfNegative val="0"/>
          <c:dLbls>
            <c:dLbl>
              <c:idx val="0"/>
              <c:layout>
                <c:manualLayout>
                  <c:x val="3.8515538366101108E-3"/>
                  <c:y val="-2.3031788887296662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5385344170453397E-2"/>
                      <c:h val="3.3224796771318975E-2"/>
                    </c:manualLayout>
                  </c15:layout>
                </c:ext>
                <c:ext xmlns:c16="http://schemas.microsoft.com/office/drawing/2014/chart" uri="{C3380CC4-5D6E-409C-BE32-E72D297353CC}">
                  <c16:uniqueId val="{00000000-3C3F-47E4-8791-9875ECA26A45}"/>
                </c:ext>
              </c:extLst>
            </c:dLbl>
            <c:dLbl>
              <c:idx val="2"/>
              <c:layout>
                <c:manualLayout>
                  <c:x val="3.8190492371673983E-3"/>
                  <c:y val="0"/>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3F-47E4-8791-9875ECA26A45}"/>
                </c:ext>
              </c:extLst>
            </c:dLbl>
            <c:dLbl>
              <c:idx val="3"/>
              <c:layout>
                <c:manualLayout>
                  <c:x val="-3.81904923716746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3F-47E4-8791-9875ECA26A45}"/>
                </c:ext>
              </c:extLst>
            </c:dLbl>
            <c:dLbl>
              <c:idx val="5"/>
              <c:layout>
                <c:manualLayout>
                  <c:x val="-1.9095246185837343E-3"/>
                  <c:y val="0"/>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3F-47E4-8791-9875ECA26A45}"/>
                </c:ext>
              </c:extLst>
            </c:dLbl>
            <c:spPr>
              <a:solidFill>
                <a:srgbClr val="FFFFFF"/>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'7'!$B$81:$B$86</c:f>
              <c:strCache>
                <c:ptCount val="6"/>
                <c:pt idx="0">
                  <c:v>Taxes</c:v>
                </c:pt>
                <c:pt idx="1">
                  <c:v>Spending</c:v>
                </c:pt>
                <c:pt idx="2">
                  <c:v>Output</c:v>
                </c:pt>
                <c:pt idx="3">
                  <c:v>Output w/o oil/gas</c:v>
                </c:pt>
                <c:pt idx="4">
                  <c:v>Jobs</c:v>
                </c:pt>
                <c:pt idx="5">
                  <c:v>Income</c:v>
                </c:pt>
              </c:strCache>
            </c:strRef>
          </c:cat>
          <c:val>
            <c:numRef>
              <c:f>('7'!$F$10,'7'!$F$20,'7'!$F$31,'7'!$F$52,'7'!$F$63,'7'!$F$75)</c:f>
              <c:numCache>
                <c:formatCode>0.00%</c:formatCode>
                <c:ptCount val="6"/>
                <c:pt idx="0">
                  <c:v>-4.7403424366775138E-2</c:v>
                </c:pt>
                <c:pt idx="1">
                  <c:v>3.3911671924290232E-2</c:v>
                </c:pt>
                <c:pt idx="2">
                  <c:v>0.69549431456715616</c:v>
                </c:pt>
                <c:pt idx="3">
                  <c:v>0.66720734820730643</c:v>
                </c:pt>
                <c:pt idx="4">
                  <c:v>0.33604577027616545</c:v>
                </c:pt>
                <c:pt idx="5">
                  <c:v>0.13772380507550985</c:v>
                </c:pt>
              </c:numCache>
            </c:numRef>
          </c:val>
          <c:extLst>
            <c:ext xmlns:c16="http://schemas.microsoft.com/office/drawing/2014/chart" uri="{C3380CC4-5D6E-409C-BE32-E72D297353CC}">
              <c16:uniqueId val="{00000007-D93A-4906-BD99-4643A19471DE}"/>
            </c:ext>
          </c:extLst>
        </c:ser>
        <c:ser>
          <c:idx val="2"/>
          <c:order val="2"/>
          <c:tx>
            <c:v>U.S.</c:v>
          </c:tx>
          <c:spPr>
            <a:solidFill>
              <a:srgbClr val="FFFFFF">
                <a:lumMod val="65000"/>
              </a:srgbClr>
            </a:solidFill>
            <a:ln>
              <a:noFill/>
            </a:ln>
            <a:effectLst/>
          </c:spPr>
          <c:invertIfNegative val="0"/>
          <c:dLbls>
            <c:dLbl>
              <c:idx val="0"/>
              <c:layout>
                <c:manualLayout>
                  <c:x val="3.8190492371674334E-3"/>
                  <c:y val="1.2963576520581301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3F-47E4-8791-9875ECA26A45}"/>
                </c:ext>
              </c:extLst>
            </c:dLbl>
            <c:dLbl>
              <c:idx val="2"/>
              <c:layout>
                <c:manualLayout>
                  <c:x val="7.6380984743349371E-3"/>
                  <c:y val="5.18518563883217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3F-47E4-8791-9875ECA26A45}"/>
                </c:ext>
              </c:extLst>
            </c:dLbl>
            <c:dLbl>
              <c:idx val="3"/>
              <c:layout>
                <c:manualLayout>
                  <c:x val="3.81904923716746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3F-47E4-8791-9875ECA26A45}"/>
                </c:ext>
              </c:extLst>
            </c:dLbl>
            <c:dLbl>
              <c:idx val="4"/>
              <c:layout>
                <c:manualLayout>
                  <c:x val="5.7773307549151666E-3"/>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8562876085656738E-2"/>
                      <c:h val="3.3224796771318975E-2"/>
                    </c:manualLayout>
                  </c15:layout>
                </c:ext>
                <c:ext xmlns:c16="http://schemas.microsoft.com/office/drawing/2014/chart" uri="{C3380CC4-5D6E-409C-BE32-E72D297353CC}">
                  <c16:uniqueId val="{0000000A-3C3F-47E4-8791-9875ECA26A45}"/>
                </c:ext>
              </c:extLst>
            </c:dLbl>
            <c:dLbl>
              <c:idx val="5"/>
              <c:layout>
                <c:manualLayout>
                  <c:x val="5.7285738557512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3F-47E4-8791-9875ECA26A45}"/>
                </c:ext>
              </c:extLst>
            </c:dLbl>
            <c:spPr>
              <a:solidFill>
                <a:srgbClr val="FFFFFF"/>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'7'!$B$81:$B$86</c:f>
              <c:strCache>
                <c:ptCount val="6"/>
                <c:pt idx="0">
                  <c:v>Taxes</c:v>
                </c:pt>
                <c:pt idx="1">
                  <c:v>Spending</c:v>
                </c:pt>
                <c:pt idx="2">
                  <c:v>Output</c:v>
                </c:pt>
                <c:pt idx="3">
                  <c:v>Output w/o oil/gas</c:v>
                </c:pt>
                <c:pt idx="4">
                  <c:v>Jobs</c:v>
                </c:pt>
                <c:pt idx="5">
                  <c:v>Income</c:v>
                </c:pt>
              </c:strCache>
            </c:strRef>
          </c:cat>
          <c:val>
            <c:numRef>
              <c:f>('7'!$G$10,'7'!$G$20,'7'!$G$31,'7'!$G$52,'7'!$G$63,'7'!$G$75)</c:f>
              <c:numCache>
                <c:formatCode>0.00%</c:formatCode>
                <c:ptCount val="6"/>
                <c:pt idx="0">
                  <c:v>-3.6503362151777075E-2</c:v>
                </c:pt>
                <c:pt idx="1">
                  <c:v>1.1235955056179803E-2</c:v>
                </c:pt>
                <c:pt idx="2">
                  <c:v>0.65082945786929614</c:v>
                </c:pt>
                <c:pt idx="3">
                  <c:v>0.64363225620350839</c:v>
                </c:pt>
                <c:pt idx="4">
                  <c:v>0.23715629969595353</c:v>
                </c:pt>
                <c:pt idx="5">
                  <c:v>0.16521768263061798</c:v>
                </c:pt>
              </c:numCache>
            </c:numRef>
          </c:val>
          <c:extLst>
            <c:ext xmlns:c16="http://schemas.microsoft.com/office/drawing/2014/chart" uri="{C3380CC4-5D6E-409C-BE32-E72D297353CC}">
              <c16:uniqueId val="{00000008-D93A-4906-BD99-4643A19471DE}"/>
            </c:ext>
          </c:extLst>
        </c:ser>
        <c:dLbls>
          <c:dLblPos val="outEnd"/>
          <c:showLegendKey val="0"/>
          <c:showVal val="1"/>
          <c:showCatName val="0"/>
          <c:showSerName val="0"/>
          <c:showPercent val="0"/>
          <c:showBubbleSize val="0"/>
        </c:dLbls>
        <c:gapWidth val="40"/>
        <c:overlap val="-10"/>
        <c:axId val="219252479"/>
        <c:axId val="219247071"/>
      </c:barChart>
      <c:catAx>
        <c:axId val="2192524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47071"/>
        <c:crosses val="autoZero"/>
        <c:auto val="0"/>
        <c:lblAlgn val="ctr"/>
        <c:lblOffset val="0"/>
        <c:noMultiLvlLbl val="0"/>
      </c:catAx>
      <c:valAx>
        <c:axId val="2192470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52479"/>
        <c:crosses val="autoZero"/>
        <c:crossBetween val="between"/>
      </c:valAx>
      <c:spPr>
        <a:noFill/>
        <a:ln>
          <a:noFill/>
        </a:ln>
        <a:effectLst/>
      </c:spPr>
    </c:plotArea>
    <c:legend>
      <c:legendPos val="t"/>
      <c:layout>
        <c:manualLayout>
          <c:xMode val="edge"/>
          <c:yMode val="edge"/>
          <c:x val="1.64634420697412E-3"/>
          <c:y val="0.1762074074074074"/>
          <c:w val="0.33236186918643201"/>
          <c:h val="5.302146055272503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2400" b="1">
                <a:solidFill>
                  <a:srgbClr val="972421"/>
                </a:solidFill>
              </a:rPr>
              <a:t>Tax cuts benefited a few while budget cuts hurt everyone</a:t>
            </a:r>
          </a:p>
        </c:rich>
      </c:tx>
      <c:layout>
        <c:manualLayout>
          <c:xMode val="edge"/>
          <c:yMode val="edge"/>
          <c:x val="7.1991001124972954E-6"/>
          <c:y val="0"/>
        </c:manualLayout>
      </c:layout>
      <c:overlay val="0"/>
    </c:title>
    <c:autoTitleDeleted val="0"/>
    <c:plotArea>
      <c:layout>
        <c:manualLayout>
          <c:layoutTarget val="inner"/>
          <c:xMode val="edge"/>
          <c:yMode val="edge"/>
          <c:x val="0.17290708661417323"/>
          <c:y val="0.32694896471274426"/>
          <c:w val="0.79658702662167213"/>
          <c:h val="0.52553817439486727"/>
        </c:manualLayout>
      </c:layout>
      <c:barChart>
        <c:barDir val="col"/>
        <c:grouping val="stacked"/>
        <c:varyColors val="0"/>
        <c:ser>
          <c:idx val="0"/>
          <c:order val="0"/>
          <c:tx>
            <c:strRef>
              <c:f>'8'!$C$8</c:f>
              <c:strCache>
                <c:ptCount val="1"/>
                <c:pt idx="0">
                  <c:v>Tax Savings</c:v>
                </c:pt>
              </c:strCache>
            </c:strRef>
          </c:tx>
          <c:spPr>
            <a:solidFill>
              <a:srgbClr val="2F507F"/>
            </a:solidFill>
          </c:spPr>
          <c:invertIfNegative val="0"/>
          <c:dLbls>
            <c:dLbl>
              <c:idx val="0"/>
              <c:layout>
                <c:manualLayout>
                  <c:x val="0"/>
                  <c:y val="4.374453194369338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D0-4FD4-BF3C-4E4BF532C305}"/>
                </c:ext>
              </c:extLst>
            </c:dLbl>
            <c:dLbl>
              <c:idx val="1"/>
              <c:layout>
                <c:manualLayout>
                  <c:x val="-6.9840463038281107E-17"/>
                  <c:y val="-1.1111111111121296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97-49D5-8777-A8508694C4CF}"/>
                </c:ext>
              </c:extLst>
            </c:dLbl>
            <c:spPr>
              <a:noFill/>
              <a:ln>
                <a:noFill/>
              </a:ln>
              <a:effectLst/>
            </c:spPr>
            <c:txPr>
              <a:bodyPr/>
              <a:lstStyle/>
              <a:p>
                <a:pPr>
                  <a:defRPr sz="105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'8'!$B$9:$B$13</c:f>
              <c:strCache>
                <c:ptCount val="5"/>
                <c:pt idx="0">
                  <c:v>Lowest 20%</c:v>
                </c:pt>
                <c:pt idx="1">
                  <c:v>2nd 20%</c:v>
                </c:pt>
                <c:pt idx="2">
                  <c:v>Middle 20%</c:v>
                </c:pt>
                <c:pt idx="3">
                  <c:v>4th 20%</c:v>
                </c:pt>
                <c:pt idx="4">
                  <c:v>Highest 20%</c:v>
                </c:pt>
              </c:strCache>
            </c:strRef>
          </c:cat>
          <c:val>
            <c:numRef>
              <c:f>'8'!$C$9:$C$13</c:f>
              <c:numCache>
                <c:formatCode>"$"#,##0</c:formatCode>
                <c:ptCount val="5"/>
                <c:pt idx="0">
                  <c:v>-57207.216614982375</c:v>
                </c:pt>
                <c:pt idx="1">
                  <c:v>36595.792981643113</c:v>
                </c:pt>
                <c:pt idx="2">
                  <c:v>110292.14850329558</c:v>
                </c:pt>
                <c:pt idx="3">
                  <c:v>181212.27145393158</c:v>
                </c:pt>
                <c:pt idx="4">
                  <c:v>675161.05439533771</c:v>
                </c:pt>
              </c:numCache>
            </c:numRef>
          </c:val>
          <c:extLst>
            <c:ext xmlns:c16="http://schemas.microsoft.com/office/drawing/2014/chart" uri="{C3380CC4-5D6E-409C-BE32-E72D297353CC}">
              <c16:uniqueId val="{00000000-D225-4862-B850-EC379598FB91}"/>
            </c:ext>
          </c:extLst>
        </c:ser>
        <c:ser>
          <c:idx val="2"/>
          <c:order val="1"/>
          <c:tx>
            <c:strRef>
              <c:f>'8'!$D$8</c:f>
              <c:strCache>
                <c:ptCount val="1"/>
                <c:pt idx="0">
                  <c:v>Loss of Services</c:v>
                </c:pt>
              </c:strCache>
            </c:strRef>
          </c:tx>
          <c:spPr>
            <a:solidFill>
              <a:srgbClr val="9FB8DB"/>
            </a:solidFill>
          </c:spPr>
          <c:invertIfNegative val="0"/>
          <c:dLbls>
            <c:spPr>
              <a:noFill/>
              <a:ln>
                <a:noFill/>
              </a:ln>
              <a:effectLst/>
            </c:spPr>
            <c:txPr>
              <a:bodyPr/>
              <a:lstStyle/>
              <a:p>
                <a:pPr>
                  <a:defRPr sz="105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'8'!$B$9:$B$13</c:f>
              <c:strCache>
                <c:ptCount val="5"/>
                <c:pt idx="0">
                  <c:v>Lowest 20%</c:v>
                </c:pt>
                <c:pt idx="1">
                  <c:v>2nd 20%</c:v>
                </c:pt>
                <c:pt idx="2">
                  <c:v>Middle 20%</c:v>
                </c:pt>
                <c:pt idx="3">
                  <c:v>4th 20%</c:v>
                </c:pt>
                <c:pt idx="4">
                  <c:v>Highest 20%</c:v>
                </c:pt>
              </c:strCache>
            </c:strRef>
          </c:cat>
          <c:val>
            <c:numRef>
              <c:f>'8'!$D$9:$D$13</c:f>
              <c:numCache>
                <c:formatCode>"$"#,##0</c:formatCode>
                <c:ptCount val="5"/>
                <c:pt idx="0">
                  <c:v>-232116.51127526216</c:v>
                </c:pt>
                <c:pt idx="1">
                  <c:v>-163136.51453638382</c:v>
                </c:pt>
                <c:pt idx="2">
                  <c:v>-161848.21973365633</c:v>
                </c:pt>
                <c:pt idx="3">
                  <c:v>-169826.31295525958</c:v>
                </c:pt>
                <c:pt idx="4">
                  <c:v>-219126.4922186636</c:v>
                </c:pt>
              </c:numCache>
            </c:numRef>
          </c:val>
          <c:extLst>
            <c:ext xmlns:c16="http://schemas.microsoft.com/office/drawing/2014/chart" uri="{C3380CC4-5D6E-409C-BE32-E72D297353CC}">
              <c16:uniqueId val="{00000001-D225-4862-B850-EC379598FB91}"/>
            </c:ext>
          </c:extLst>
        </c:ser>
        <c:dLbls>
          <c:dLblPos val="ctr"/>
          <c:showLegendKey val="0"/>
          <c:showVal val="1"/>
          <c:showCatName val="0"/>
          <c:showSerName val="0"/>
          <c:showPercent val="0"/>
          <c:showBubbleSize val="0"/>
        </c:dLbls>
        <c:gapWidth val="20"/>
        <c:overlap val="100"/>
        <c:axId val="315574511"/>
        <c:axId val="1"/>
      </c:barChart>
      <c:catAx>
        <c:axId val="315574511"/>
        <c:scaling>
          <c:orientation val="minMax"/>
        </c:scaling>
        <c:delete val="0"/>
        <c:axPos val="b"/>
        <c:numFmt formatCode="General" sourceLinked="1"/>
        <c:majorTickMark val="out"/>
        <c:minorTickMark val="none"/>
        <c:tickLblPos val="high"/>
        <c:spPr>
          <a:ln>
            <a:solidFill>
              <a:srgbClr val="FFFFFF">
                <a:lumMod val="85000"/>
              </a:srgbClr>
            </a:solidFill>
          </a:ln>
        </c:spPr>
        <c:txPr>
          <a:bodyPr rot="0" vert="horz"/>
          <a:lstStyle/>
          <a:p>
            <a:pPr>
              <a:defRPr b="0"/>
            </a:pPr>
            <a:endParaRPr lang="en-US"/>
          </a:p>
        </c:txPr>
        <c:crossAx val="1"/>
        <c:crosses val="autoZero"/>
        <c:auto val="1"/>
        <c:lblAlgn val="ctr"/>
        <c:lblOffset val="0"/>
        <c:noMultiLvlLbl val="0"/>
      </c:catAx>
      <c:valAx>
        <c:axId val="1"/>
        <c:scaling>
          <c:orientation val="minMax"/>
        </c:scaling>
        <c:delete val="0"/>
        <c:axPos val="l"/>
        <c:majorGridlines>
          <c:spPr>
            <a:ln>
              <a:solidFill>
                <a:srgbClr val="FFFFFF">
                  <a:lumMod val="85000"/>
                </a:srgbClr>
              </a:solidFill>
            </a:ln>
          </c:spPr>
        </c:majorGridlines>
        <c:numFmt formatCode="\$#,##0" sourceLinked="0"/>
        <c:majorTickMark val="out"/>
        <c:minorTickMark val="none"/>
        <c:tickLblPos val="nextTo"/>
        <c:spPr>
          <a:ln>
            <a:solidFill>
              <a:srgbClr val="FFFFFF">
                <a:lumMod val="85000"/>
              </a:srgbClr>
            </a:solidFill>
          </a:ln>
        </c:spPr>
        <c:txPr>
          <a:bodyPr rot="0" vert="horz"/>
          <a:lstStyle/>
          <a:p>
            <a:pPr>
              <a:defRPr/>
            </a:pPr>
            <a:endParaRPr lang="en-US"/>
          </a:p>
        </c:txPr>
        <c:crossAx val="315574511"/>
        <c:crosses val="autoZero"/>
        <c:crossBetween val="between"/>
      </c:valAx>
      <c:spPr>
        <a:noFill/>
      </c:spPr>
    </c:plotArea>
    <c:legend>
      <c:legendPos val="t"/>
      <c:layout>
        <c:manualLayout>
          <c:xMode val="edge"/>
          <c:yMode val="edge"/>
          <c:x val="1.076865391826015E-3"/>
          <c:y val="0.18509629629629629"/>
          <c:w val="0.36964694413198351"/>
          <c:h val="5.6335301837270348E-2"/>
        </c:manualLayout>
      </c:layout>
      <c:overlay val="0"/>
    </c:legend>
    <c:plotVisOnly val="1"/>
    <c:dispBlanksAs val="gap"/>
    <c:showDLblsOverMax val="0"/>
  </c:chart>
  <c:spPr>
    <a:solidFill>
      <a:srgbClr val="FFFFFF"/>
    </a:solidFill>
    <a:ln>
      <a:noFill/>
    </a:ln>
  </c:spPr>
  <c:txPr>
    <a:bodyPr/>
    <a:lstStyle/>
    <a:p>
      <a:pPr>
        <a:defRPr sz="1200" b="0" i="0" u="none" strike="noStrike" baseline="0">
          <a:solidFill>
            <a:schemeClr val="tx1">
              <a:lumMod val="65000"/>
              <a:lumOff val="35000"/>
            </a:schemeClr>
          </a:solidFill>
          <a:latin typeface="Myriad Pro" panose="020B0503030403020204" pitchFamily="34" charset="0"/>
          <a:ea typeface="Calibri"/>
          <a:cs typeface="Calibri"/>
        </a:defRPr>
      </a:pPr>
      <a:endParaRPr lang="en-US"/>
    </a:p>
  </c:txPr>
  <c:printSettings>
    <c:headerFooter/>
    <c:pageMargins b="0.75" l="0.7" r="0.7" t="0.75" header="0.3" footer="0.3"/>
    <c:pageSetup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2000">
                <a:solidFill>
                  <a:srgbClr val="972421"/>
                </a:solidFill>
              </a:rPr>
              <a:t>Taxes have risen for low-income Oklahomans, while they have fallen in surrounding states</a:t>
            </a:r>
          </a:p>
        </c:rich>
      </c:tx>
      <c:layout>
        <c:manualLayout>
          <c:xMode val="edge"/>
          <c:yMode val="edge"/>
          <c:x val="7.8431372549015571E-4"/>
          <c:y val="0"/>
        </c:manualLayout>
      </c:layout>
      <c:overlay val="0"/>
    </c:title>
    <c:autoTitleDeleted val="0"/>
    <c:plotArea>
      <c:layout>
        <c:manualLayout>
          <c:layoutTarget val="inner"/>
          <c:xMode val="edge"/>
          <c:yMode val="edge"/>
          <c:x val="7.492568428946382E-2"/>
          <c:y val="0.28756512102653836"/>
          <c:w val="0.90412193475815528"/>
          <c:h val="0.56268159813356666"/>
        </c:manualLayout>
      </c:layout>
      <c:lineChart>
        <c:grouping val="standard"/>
        <c:varyColors val="0"/>
        <c:ser>
          <c:idx val="1"/>
          <c:order val="0"/>
          <c:tx>
            <c:strRef>
              <c:f>'10'!$A$7</c:f>
              <c:strCache>
                <c:ptCount val="1"/>
                <c:pt idx="0">
                  <c:v>Oklahoma</c:v>
                </c:pt>
              </c:strCache>
            </c:strRef>
          </c:tx>
          <c:spPr>
            <a:ln w="50800">
              <a:solidFill>
                <a:srgbClr val="2F507F"/>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7-F514-4A49-BDAC-80B8F73A0FCF}"/>
                </c:ext>
              </c:extLst>
            </c:dLbl>
            <c:dLbl>
              <c:idx val="2"/>
              <c:delete val="1"/>
              <c:extLst>
                <c:ext xmlns:c15="http://schemas.microsoft.com/office/drawing/2012/chart" uri="{CE6537A1-D6FC-4f65-9D91-7224C49458BB}"/>
                <c:ext xmlns:c16="http://schemas.microsoft.com/office/drawing/2014/chart" uri="{C3380CC4-5D6E-409C-BE32-E72D297353CC}">
                  <c16:uniqueId val="{0000000B-F514-4A49-BDAC-80B8F73A0FCF}"/>
                </c:ext>
              </c:extLst>
            </c:dLbl>
            <c:dLbl>
              <c:idx val="3"/>
              <c:delete val="1"/>
              <c:extLst>
                <c:ext xmlns:c15="http://schemas.microsoft.com/office/drawing/2012/chart" uri="{CE6537A1-D6FC-4f65-9D91-7224C49458BB}"/>
                <c:ext xmlns:c16="http://schemas.microsoft.com/office/drawing/2014/chart" uri="{C3380CC4-5D6E-409C-BE32-E72D297353CC}">
                  <c16:uniqueId val="{0000000A-F514-4A49-BDAC-80B8F73A0FCF}"/>
                </c:ext>
              </c:extLst>
            </c:dLbl>
            <c:dLbl>
              <c:idx val="4"/>
              <c:delete val="1"/>
              <c:extLst>
                <c:ext xmlns:c15="http://schemas.microsoft.com/office/drawing/2012/chart" uri="{CE6537A1-D6FC-4f65-9D91-7224C49458BB}"/>
                <c:ext xmlns:c16="http://schemas.microsoft.com/office/drawing/2014/chart" uri="{C3380CC4-5D6E-409C-BE32-E72D297353CC}">
                  <c16:uniqueId val="{0000000D-F514-4A49-BDAC-80B8F73A0FCF}"/>
                </c:ext>
              </c:extLst>
            </c:dLbl>
            <c:spPr>
              <a:solidFill>
                <a:srgbClr val="2F507F"/>
              </a:solid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'10'!$B$6:$G$6</c:f>
              <c:numCache>
                <c:formatCode>General</c:formatCode>
                <c:ptCount val="6"/>
                <c:pt idx="0">
                  <c:v>1996</c:v>
                </c:pt>
                <c:pt idx="1">
                  <c:v>2003</c:v>
                </c:pt>
                <c:pt idx="2">
                  <c:v>2009</c:v>
                </c:pt>
                <c:pt idx="3">
                  <c:v>2013</c:v>
                </c:pt>
                <c:pt idx="4">
                  <c:v>2015</c:v>
                </c:pt>
                <c:pt idx="5">
                  <c:v>2018</c:v>
                </c:pt>
              </c:numCache>
            </c:numRef>
          </c:cat>
          <c:val>
            <c:numRef>
              <c:f>'10'!$B$7:$G$7</c:f>
              <c:numCache>
                <c:formatCode>0\%</c:formatCode>
                <c:ptCount val="6"/>
                <c:pt idx="0">
                  <c:v>9.9</c:v>
                </c:pt>
                <c:pt idx="1">
                  <c:v>12</c:v>
                </c:pt>
                <c:pt idx="2">
                  <c:v>9.9</c:v>
                </c:pt>
                <c:pt idx="3">
                  <c:v>10.3</c:v>
                </c:pt>
                <c:pt idx="4">
                  <c:v>10.5</c:v>
                </c:pt>
                <c:pt idx="5">
                  <c:v>13.2</c:v>
                </c:pt>
              </c:numCache>
            </c:numRef>
          </c:val>
          <c:smooth val="0"/>
          <c:extLst>
            <c:ext xmlns:c16="http://schemas.microsoft.com/office/drawing/2014/chart" uri="{C3380CC4-5D6E-409C-BE32-E72D297353CC}">
              <c16:uniqueId val="{00000003-F514-4A49-BDAC-80B8F73A0FCF}"/>
            </c:ext>
          </c:extLst>
        </c:ser>
        <c:ser>
          <c:idx val="0"/>
          <c:order val="1"/>
          <c:tx>
            <c:strRef>
              <c:f>'10'!$A$15</c:f>
              <c:strCache>
                <c:ptCount val="1"/>
                <c:pt idx="0">
                  <c:v>Median of neighboring states</c:v>
                </c:pt>
              </c:strCache>
            </c:strRef>
          </c:tx>
          <c:spPr>
            <a:ln w="50800">
              <a:solidFill>
                <a:srgbClr val="9FB8DB"/>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6-F514-4A49-BDAC-80B8F73A0FCF}"/>
                </c:ext>
              </c:extLst>
            </c:dLbl>
            <c:dLbl>
              <c:idx val="2"/>
              <c:delete val="1"/>
              <c:extLst>
                <c:ext xmlns:c15="http://schemas.microsoft.com/office/drawing/2012/chart" uri="{CE6537A1-D6FC-4f65-9D91-7224C49458BB}"/>
                <c:ext xmlns:c16="http://schemas.microsoft.com/office/drawing/2014/chart" uri="{C3380CC4-5D6E-409C-BE32-E72D297353CC}">
                  <c16:uniqueId val="{00000008-F514-4A49-BDAC-80B8F73A0FCF}"/>
                </c:ext>
              </c:extLst>
            </c:dLbl>
            <c:dLbl>
              <c:idx val="3"/>
              <c:delete val="1"/>
              <c:extLst>
                <c:ext xmlns:c15="http://schemas.microsoft.com/office/drawing/2012/chart" uri="{CE6537A1-D6FC-4f65-9D91-7224C49458BB}"/>
                <c:ext xmlns:c16="http://schemas.microsoft.com/office/drawing/2014/chart" uri="{C3380CC4-5D6E-409C-BE32-E72D297353CC}">
                  <c16:uniqueId val="{00000009-F514-4A49-BDAC-80B8F73A0FCF}"/>
                </c:ext>
              </c:extLst>
            </c:dLbl>
            <c:dLbl>
              <c:idx val="4"/>
              <c:delete val="1"/>
              <c:extLst>
                <c:ext xmlns:c15="http://schemas.microsoft.com/office/drawing/2012/chart" uri="{CE6537A1-D6FC-4f65-9D91-7224C49458BB}"/>
                <c:ext xmlns:c16="http://schemas.microsoft.com/office/drawing/2014/chart" uri="{C3380CC4-5D6E-409C-BE32-E72D297353CC}">
                  <c16:uniqueId val="{0000000C-F514-4A49-BDAC-80B8F73A0FCF}"/>
                </c:ext>
              </c:extLst>
            </c:dLbl>
            <c:spPr>
              <a:solidFill>
                <a:srgbClr val="9FB8DB"/>
              </a:solid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'10'!$B$6:$G$6</c:f>
              <c:numCache>
                <c:formatCode>General</c:formatCode>
                <c:ptCount val="6"/>
                <c:pt idx="0">
                  <c:v>1996</c:v>
                </c:pt>
                <c:pt idx="1">
                  <c:v>2003</c:v>
                </c:pt>
                <c:pt idx="2">
                  <c:v>2009</c:v>
                </c:pt>
                <c:pt idx="3">
                  <c:v>2013</c:v>
                </c:pt>
                <c:pt idx="4">
                  <c:v>2015</c:v>
                </c:pt>
                <c:pt idx="5">
                  <c:v>2018</c:v>
                </c:pt>
              </c:numCache>
            </c:numRef>
          </c:cat>
          <c:val>
            <c:numRef>
              <c:f>'10'!$B$15:$G$15</c:f>
              <c:numCache>
                <c:formatCode>0\%</c:formatCode>
                <c:ptCount val="6"/>
                <c:pt idx="0">
                  <c:v>12</c:v>
                </c:pt>
                <c:pt idx="1">
                  <c:v>11.4</c:v>
                </c:pt>
                <c:pt idx="2">
                  <c:v>10.4</c:v>
                </c:pt>
                <c:pt idx="3">
                  <c:v>10.6</c:v>
                </c:pt>
                <c:pt idx="4">
                  <c:v>10.9</c:v>
                </c:pt>
                <c:pt idx="5">
                  <c:v>11.2</c:v>
                </c:pt>
              </c:numCache>
            </c:numRef>
          </c:val>
          <c:smooth val="0"/>
          <c:extLst>
            <c:ext xmlns:c16="http://schemas.microsoft.com/office/drawing/2014/chart" uri="{C3380CC4-5D6E-409C-BE32-E72D297353CC}">
              <c16:uniqueId val="{00000004-F514-4A49-BDAC-80B8F73A0FCF}"/>
            </c:ext>
          </c:extLst>
        </c:ser>
        <c:dLbls>
          <c:dLblPos val="t"/>
          <c:showLegendKey val="0"/>
          <c:showVal val="1"/>
          <c:showCatName val="0"/>
          <c:showSerName val="0"/>
          <c:showPercent val="0"/>
          <c:showBubbleSize val="0"/>
        </c:dLbls>
        <c:smooth val="0"/>
        <c:axId val="525958184"/>
        <c:axId val="525960152"/>
      </c:lineChart>
      <c:catAx>
        <c:axId val="5259581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525960152"/>
        <c:crosses val="autoZero"/>
        <c:auto val="1"/>
        <c:lblAlgn val="ctr"/>
        <c:lblOffset val="100"/>
        <c:noMultiLvlLbl val="0"/>
      </c:catAx>
      <c:valAx>
        <c:axId val="525960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525958184"/>
        <c:crosses val="autoZero"/>
        <c:crossBetween val="between"/>
      </c:valAx>
      <c:spPr>
        <a:noFill/>
        <a:ln>
          <a:noFill/>
        </a:ln>
        <a:effectLst/>
      </c:spPr>
    </c:plotArea>
    <c:legend>
      <c:legendPos val="t"/>
      <c:layout>
        <c:manualLayout>
          <c:xMode val="edge"/>
          <c:yMode val="edge"/>
          <c:x val="1.0453693288339071E-3"/>
          <c:y val="0.16462222222222223"/>
          <c:w val="0.56362354705661788"/>
          <c:h val="6.0090988626421704E-2"/>
        </c:manualLayout>
      </c:layout>
      <c:overlay val="0"/>
      <c:txPr>
        <a:bodyPr/>
        <a:lstStyle/>
        <a:p>
          <a:pPr>
            <a:defRPr>
              <a:solidFill>
                <a:schemeClr val="tx1">
                  <a:lumMod val="65000"/>
                  <a:lumOff val="35000"/>
                </a:schemeClr>
              </a:solidFill>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400" b="1">
                <a:solidFill>
                  <a:srgbClr val="972421"/>
                </a:solidFill>
              </a:rPr>
              <a:t>What if the lowest 20% paid the same</a:t>
            </a:r>
          </a:p>
          <a:p>
            <a:pPr algn="l">
              <a:defRPr/>
            </a:pPr>
            <a:r>
              <a:rPr lang="en-US" sz="2400" b="1">
                <a:solidFill>
                  <a:srgbClr val="972421"/>
                </a:solidFill>
              </a:rPr>
              <a:t>as the highest 20%?</a:t>
            </a:r>
          </a:p>
        </c:rich>
      </c:tx>
      <c:layout>
        <c:manualLayout>
          <c:xMode val="edge"/>
          <c:yMode val="edge"/>
          <c:x val="1.4141732283464567E-3"/>
          <c:y val="0"/>
        </c:manualLayout>
      </c:layout>
      <c:overlay val="0"/>
      <c:spPr>
        <a:noFill/>
        <a:ln>
          <a:noFill/>
        </a:ln>
        <a:effectLst/>
      </c:spPr>
      <c:txPr>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manualLayout>
          <c:layoutTarget val="inner"/>
          <c:xMode val="edge"/>
          <c:yMode val="edge"/>
          <c:x val="9.810678665166854E-2"/>
          <c:y val="0.32795917177019546"/>
          <c:w val="0.88094083239595056"/>
          <c:h val="0.52622595508894721"/>
        </c:manualLayout>
      </c:layout>
      <c:barChart>
        <c:barDir val="col"/>
        <c:grouping val="clustered"/>
        <c:varyColors val="0"/>
        <c:ser>
          <c:idx val="0"/>
          <c:order val="0"/>
          <c:tx>
            <c:strRef>
              <c:f>'11'!$F$69</c:f>
              <c:strCache>
                <c:ptCount val="1"/>
                <c:pt idx="0">
                  <c:v>Oklahoma</c:v>
                </c:pt>
              </c:strCache>
            </c:strRef>
          </c:tx>
          <c:spPr>
            <a:solidFill>
              <a:srgbClr val="2F507F"/>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'11'!$E$70:$E$75</c:f>
              <c:numCache>
                <c:formatCode>General</c:formatCode>
                <c:ptCount val="6"/>
                <c:pt idx="0">
                  <c:v>1995</c:v>
                </c:pt>
                <c:pt idx="1">
                  <c:v>2002</c:v>
                </c:pt>
                <c:pt idx="2">
                  <c:v>2007</c:v>
                </c:pt>
                <c:pt idx="3">
                  <c:v>2013</c:v>
                </c:pt>
                <c:pt idx="4">
                  <c:v>2015</c:v>
                </c:pt>
                <c:pt idx="5">
                  <c:v>2018</c:v>
                </c:pt>
              </c:numCache>
            </c:numRef>
          </c:cat>
          <c:val>
            <c:numRef>
              <c:f>'11'!$F$70:$F$75</c:f>
              <c:numCache>
                <c:formatCode>_("$"* #,##0_);_("$"* \(#,##0\);_("$"* "-"??_);_(@_)</c:formatCode>
                <c:ptCount val="6"/>
                <c:pt idx="0">
                  <c:v>-308.49000000000012</c:v>
                </c:pt>
                <c:pt idx="1">
                  <c:v>-273.43000000000006</c:v>
                </c:pt>
                <c:pt idx="2">
                  <c:v>-286.44000000000005</c:v>
                </c:pt>
                <c:pt idx="3">
                  <c:v>-315.36000000000013</c:v>
                </c:pt>
                <c:pt idx="4">
                  <c:v>-364.62000000000006</c:v>
                </c:pt>
                <c:pt idx="5">
                  <c:v>-595.20000000000005</c:v>
                </c:pt>
              </c:numCache>
            </c:numRef>
          </c:val>
          <c:extLst>
            <c:ext xmlns:c16="http://schemas.microsoft.com/office/drawing/2014/chart" uri="{C3380CC4-5D6E-409C-BE32-E72D297353CC}">
              <c16:uniqueId val="{00000000-08DB-492C-8E72-DEA9E82E5D7D}"/>
            </c:ext>
          </c:extLst>
        </c:ser>
        <c:ser>
          <c:idx val="1"/>
          <c:order val="1"/>
          <c:tx>
            <c:strRef>
              <c:f>'11'!$G$69</c:f>
              <c:strCache>
                <c:ptCount val="1"/>
                <c:pt idx="0">
                  <c:v>Region</c:v>
                </c:pt>
              </c:strCache>
            </c:strRef>
          </c:tx>
          <c:spPr>
            <a:solidFill>
              <a:srgbClr val="9FB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'11'!$E$70:$E$75</c:f>
              <c:numCache>
                <c:formatCode>General</c:formatCode>
                <c:ptCount val="6"/>
                <c:pt idx="0">
                  <c:v>1995</c:v>
                </c:pt>
                <c:pt idx="1">
                  <c:v>2002</c:v>
                </c:pt>
                <c:pt idx="2">
                  <c:v>2007</c:v>
                </c:pt>
                <c:pt idx="3">
                  <c:v>2013</c:v>
                </c:pt>
                <c:pt idx="4">
                  <c:v>2015</c:v>
                </c:pt>
                <c:pt idx="5">
                  <c:v>2018</c:v>
                </c:pt>
              </c:numCache>
            </c:numRef>
          </c:cat>
          <c:val>
            <c:numRef>
              <c:f>'11'!$G$70:$G$75</c:f>
              <c:numCache>
                <c:formatCode>_("$"* #,##0_);_("$"* \(#,##0\);_("$"* "-"??_);_(@_)</c:formatCode>
                <c:ptCount val="6"/>
                <c:pt idx="0">
                  <c:v>-601.75000000000011</c:v>
                </c:pt>
                <c:pt idx="1">
                  <c:v>-308.10000000000008</c:v>
                </c:pt>
                <c:pt idx="2">
                  <c:v>-340.29000000000008</c:v>
                </c:pt>
                <c:pt idx="3">
                  <c:v>-321.80999999999995</c:v>
                </c:pt>
                <c:pt idx="4">
                  <c:v>-347.5200000000001</c:v>
                </c:pt>
                <c:pt idx="5">
                  <c:v>-246.67499999999995</c:v>
                </c:pt>
              </c:numCache>
            </c:numRef>
          </c:val>
          <c:extLst>
            <c:ext xmlns:c16="http://schemas.microsoft.com/office/drawing/2014/chart" uri="{C3380CC4-5D6E-409C-BE32-E72D297353CC}">
              <c16:uniqueId val="{00000003-F9DD-4AD5-BA2C-0C09D4D4B160}"/>
            </c:ext>
          </c:extLst>
        </c:ser>
        <c:dLbls>
          <c:showLegendKey val="0"/>
          <c:showVal val="0"/>
          <c:showCatName val="0"/>
          <c:showSerName val="0"/>
          <c:showPercent val="0"/>
          <c:showBubbleSize val="0"/>
        </c:dLbls>
        <c:gapWidth val="40"/>
        <c:overlap val="-10"/>
        <c:axId val="219252479"/>
        <c:axId val="219247071"/>
      </c:barChart>
      <c:catAx>
        <c:axId val="21925247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47071"/>
        <c:crosses val="autoZero"/>
        <c:auto val="1"/>
        <c:lblAlgn val="ctr"/>
        <c:lblOffset val="0"/>
        <c:noMultiLvlLbl val="0"/>
      </c:catAx>
      <c:valAx>
        <c:axId val="21924707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crossAx val="219252479"/>
        <c:crosses val="autoZero"/>
        <c:crossBetween val="between"/>
      </c:valAx>
      <c:spPr>
        <a:noFill/>
        <a:ln>
          <a:noFill/>
        </a:ln>
        <a:effectLst/>
      </c:spPr>
    </c:plotArea>
    <c:legend>
      <c:legendPos val="t"/>
      <c:layout>
        <c:manualLayout>
          <c:xMode val="edge"/>
          <c:yMode val="edge"/>
          <c:x val="1.7427821522309711E-3"/>
          <c:y val="0.18304811898512685"/>
          <c:w val="0.25773738282714659"/>
          <c:h val="6.00909886264217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sz="1200">
          <a:latin typeface="Myriad Pro" panose="020B0503030403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391584</xdr:colOff>
      <xdr:row>2</xdr:row>
      <xdr:rowOff>93132</xdr:rowOff>
    </xdr:from>
    <xdr:to>
      <xdr:col>20</xdr:col>
      <xdr:colOff>82550</xdr:colOff>
      <xdr:row>29</xdr:row>
      <xdr:rowOff>82549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470959</xdr:colOff>
      <xdr:row>5</xdr:row>
      <xdr:rowOff>67733</xdr:rowOff>
    </xdr:from>
    <xdr:to>
      <xdr:col>28</xdr:col>
      <xdr:colOff>386293</xdr:colOff>
      <xdr:row>35</xdr:row>
      <xdr:rowOff>67733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0.90293</cdr:y>
    </cdr:from>
    <cdr:to>
      <cdr:x>0.79444</cdr:x>
      <cdr:y>0.99351</cdr:y>
    </cdr:to>
    <cdr:sp macro="" textlink="">
      <cdr:nvSpPr>
        <cdr:cNvPr id="2" name="TextBox 1"/>
        <cdr:cNvSpPr txBox="1"/>
      </cdr:nvSpPr>
      <cdr:spPr>
        <a:xfrm xmlns:a="http://schemas.openxmlformats.org/drawingml/2006/main">
          <a:off x="0" y="4300194"/>
          <a:ext cx="5296957" cy="431400"/>
        </a:xfrm>
        <a:prstGeom xmlns:a="http://schemas.openxmlformats.org/drawingml/2006/main" prst="rect">
          <a:avLst/>
        </a:prstGeom>
      </cdr:spPr>
      <cdr:txBody>
        <a:bodyPr xmlns:a="http://schemas.openxmlformats.org/drawingml/2006/main" vertOverflow="clip" horzOverflow="clip" wrap="square" rtlCol="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OK Policy calculations from US Bureau of the Census, Bureau of Labor Statistics, and Bureau of Economic Analysis. See Data Documentation Tab 7</a:t>
          </a:r>
          <a:endParaRPr lang="en-US" sz="1100">
            <a:solidFill>
              <a:schemeClr val="tx1">
                <a:lumMod val="65000"/>
                <a:lumOff val="35000"/>
              </a:schemeClr>
            </a:solidFill>
            <a:latin typeface="Myriad Pro" panose="020B0503030403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242887</xdr:colOff>
      <xdr:row>6</xdr:row>
      <xdr:rowOff>85725</xdr:rowOff>
    </xdr:from>
    <xdr:to>
      <xdr:col>18</xdr:col>
      <xdr:colOff>204787</xdr:colOff>
      <xdr:row>28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0.09094</cdr:x>
      <cdr:y>0.89282</cdr:y>
    </cdr:from>
    <cdr:to>
      <cdr:x>0.21607</cdr:x>
      <cdr:y>0.96998</cdr:y>
    </cdr:to>
    <cdr:sp macro="" textlink="">
      <cdr:nvSpPr>
        <cdr:cNvPr id="3" name="TextBox 1"/>
        <cdr:cNvSpPr txBox="1"/>
      </cdr:nvSpPr>
      <cdr:spPr>
        <a:xfrm xmlns:a="http://schemas.openxmlformats.org/drawingml/2006/main">
          <a:off x="828066" y="5966460"/>
          <a:ext cx="1139421" cy="515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0.90564</cdr:y>
    </cdr:from>
    <cdr:to>
      <cdr:x>0.61357</cdr:x>
      <cdr:y>1</cdr:y>
    </cdr:to>
    <cdr:sp macro="" textlink="">
      <cdr:nvSpPr>
        <cdr:cNvPr id="2" name="TextBox 1"/>
        <cdr:cNvSpPr txBox="1"/>
      </cdr:nvSpPr>
      <cdr:spPr>
        <a:xfrm xmlns:a="http://schemas.openxmlformats.org/drawingml/2006/main">
          <a:off x="0" y="4140600"/>
          <a:ext cx="4090988" cy="431400"/>
        </a:xfrm>
        <a:prstGeom xmlns:a="http://schemas.openxmlformats.org/drawingml/2006/main" prst="rect">
          <a:avLst/>
        </a:prstGeom>
      </cdr:spPr>
      <cdr:txBody>
        <a:bodyPr xmlns:a="http://schemas.openxmlformats.org/drawingml/2006/main" vertOverflow="clip" wrap="square" rtlCol="0" anchor="b" anchorCtr="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Kent Olson, Professor Emeritus, Oklahoma State University. See Data Documentation Tab 8.</a:t>
          </a:r>
          <a:endParaRPr lang="en-US" sz="1100">
            <a:solidFill>
              <a:schemeClr val="tx1">
                <a:lumMod val="65000"/>
                <a:lumOff val="35000"/>
              </a:schemeClr>
            </a:solidFill>
            <a:latin typeface="Myriad Pro" panose="020B0503030403020204" pitchFamily="34" charset="0"/>
          </a:endParaRPr>
        </a:p>
      </cdr:txBody>
    </cdr:sp>
  </cdr:relSizeAnchor>
  <cdr:relSizeAnchor xmlns:cdr="http://schemas.openxmlformats.org/drawingml/2006/chartDrawing">
    <cdr:from>
      <cdr:x>0</cdr:x>
      <cdr:y>0.45208</cdr:y>
    </cdr:from>
    <cdr:to>
      <cdr:x>0.04</cdr:x>
      <cdr:y>0.65208</cdr:y>
    </cdr:to>
    <cdr:sp macro="" textlink="">
      <cdr:nvSpPr>
        <cdr:cNvPr id="5" name="TextBox 4"/>
        <cdr:cNvSpPr txBox="1"/>
      </cdr:nvSpPr>
      <cdr:spPr>
        <a:xfrm xmlns:a="http://schemas.openxmlformats.org/drawingml/2006/main" rot="16200000">
          <a:off x="-323850" y="2390775"/>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chemeClr val="tx1">
                  <a:lumMod val="65000"/>
                  <a:lumOff val="35000"/>
                </a:schemeClr>
              </a:solidFill>
              <a:latin typeface="Myriad Pro" panose="020B0503030403020204" pitchFamily="34" charset="0"/>
            </a:rPr>
            <a:t>Thousands</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519112</xdr:colOff>
      <xdr:row>4</xdr:row>
      <xdr:rowOff>47625</xdr:rowOff>
    </xdr:from>
    <xdr:to>
      <xdr:col>18</xdr:col>
      <xdr:colOff>481012</xdr:colOff>
      <xdr:row>29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0.93891</cdr:y>
    </cdr:from>
    <cdr:to>
      <cdr:x>0.72253</cdr:x>
      <cdr:y>1</cdr:y>
    </cdr:to>
    <cdr:sp macro="" textlink="">
      <cdr:nvSpPr>
        <cdr:cNvPr id="2" name="TextBox 1"/>
        <cdr:cNvSpPr txBox="1"/>
      </cdr:nvSpPr>
      <cdr:spPr>
        <a:xfrm xmlns:a="http://schemas.openxmlformats.org/drawingml/2006/main">
          <a:off x="0" y="4024383"/>
          <a:ext cx="4817473" cy="261867"/>
        </a:xfrm>
        <a:prstGeom xmlns:a="http://schemas.openxmlformats.org/drawingml/2006/main" prst="rect">
          <a:avLst/>
        </a:prstGeom>
      </cdr:spPr>
      <cdr:txBody>
        <a:bodyPr xmlns:a="http://schemas.openxmlformats.org/drawingml/2006/main" vertOverflow="clip" wrap="none" rtlCol="0" anchor="b" anchorCtr="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Institute on Tax and Economic Policy. See Data Documentation Tab 10. </a:t>
          </a:r>
          <a:endParaRPr lang="en-US" sz="1100">
            <a:solidFill>
              <a:schemeClr val="tx1">
                <a:lumMod val="65000"/>
                <a:lumOff val="35000"/>
              </a:schemeClr>
            </a:solidFill>
            <a:latin typeface="Myriad Pro" panose="020B0503030403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466724</xdr:colOff>
      <xdr:row>67</xdr:row>
      <xdr:rowOff>70485</xdr:rowOff>
    </xdr:from>
    <xdr:to>
      <xdr:col>17</xdr:col>
      <xdr:colOff>352424</xdr:colOff>
      <xdr:row>93</xdr:row>
      <xdr:rowOff>78105</xdr:rowOff>
    </xdr:to>
    <xdr:graphicFrame macro="">
      <xdr:nvGraphicFramePr>
        <xdr:cNvPr id="3"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0.89935</cdr:y>
    </cdr:from>
    <cdr:to>
      <cdr:x>0.72571</cdr:x>
      <cdr:y>1</cdr:y>
    </cdr:to>
    <cdr:sp macro="" textlink="">
      <cdr:nvSpPr>
        <cdr:cNvPr id="2" name="TextBox 1"/>
        <cdr:cNvSpPr txBox="1"/>
      </cdr:nvSpPr>
      <cdr:spPr>
        <a:xfrm xmlns:a="http://schemas.openxmlformats.org/drawingml/2006/main">
          <a:off x="0" y="3854850"/>
          <a:ext cx="4838701" cy="431400"/>
        </a:xfrm>
        <a:prstGeom xmlns:a="http://schemas.openxmlformats.org/drawingml/2006/main" prst="rect">
          <a:avLst/>
        </a:prstGeom>
      </cdr:spPr>
      <cdr:txBody>
        <a:bodyPr xmlns:a="http://schemas.openxmlformats.org/drawingml/2006/main" vertOverflow="clip" wrap="square" rtlCol="0" anchor="b" anchorCtr="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OK Policy calculations from Institute on Taxation and Economic Policy. See Data Documentation Tab 11.</a:t>
          </a:r>
          <a:endParaRPr lang="en-US" sz="1100">
            <a:solidFill>
              <a:schemeClr val="tx1">
                <a:lumMod val="65000"/>
                <a:lumOff val="35000"/>
              </a:schemeClr>
            </a:solidFill>
            <a:latin typeface="Myriad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671512</xdr:colOff>
      <xdr:row>23</xdr:row>
      <xdr:rowOff>38100</xdr:rowOff>
    </xdr:from>
    <xdr:to>
      <xdr:col>12</xdr:col>
      <xdr:colOff>309562</xdr:colOff>
      <xdr:row>49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0.8598</cdr:y>
    </cdr:from>
    <cdr:to>
      <cdr:x>0.845</cdr:x>
      <cdr:y>1</cdr:y>
    </cdr:to>
    <cdr:sp macro="" textlink="">
      <cdr:nvSpPr>
        <cdr:cNvPr id="2" name="TextBox 1"/>
        <cdr:cNvSpPr txBox="1"/>
      </cdr:nvSpPr>
      <cdr:spPr>
        <a:xfrm xmlns:a="http://schemas.openxmlformats.org/drawingml/2006/main">
          <a:off x="0" y="3685316"/>
          <a:ext cx="5634038" cy="600934"/>
        </a:xfrm>
        <a:prstGeom xmlns:a="http://schemas.openxmlformats.org/drawingml/2006/main" prst="rect">
          <a:avLst/>
        </a:prstGeom>
      </cdr:spPr>
      <cdr:txBody>
        <a:bodyPr xmlns:a="http://schemas.openxmlformats.org/drawingml/2006/main" vertOverflow="clip" wrap="square" rtlCol="0" anchor="b" anchorCtr="0">
          <a:spAutoFit/>
        </a:bodyPr>
        <a:lstStyle xmlns:a="http://schemas.openxmlformats.org/drawingml/2006/main"/>
        <a:p xmlns:a="http://schemas.openxmlformats.org/drawingml/2006/main">
          <a:pPr rtl="0"/>
          <a:r>
            <a:rPr lang="en-US" sz="1100" b="0" i="0" u="none" strike="noStrike">
              <a:solidFill>
                <a:schemeClr val="tx1">
                  <a:lumMod val="65000"/>
                  <a:lumOff val="35000"/>
                </a:schemeClr>
              </a:solidFill>
              <a:effectLst/>
              <a:latin typeface="Myriad Pro" panose="020B0503030403020204" pitchFamily="34" charset="0"/>
              <a:ea typeface="+mn-ea"/>
              <a:cs typeface="+mn-cs"/>
            </a:rPr>
            <a:t>Source: Institute on Taxation and Economic Policy. Note that races exclude persons of Hispanic origin and the Latinx category includes multiple races. Includes only householders under age 65. Totals may not add due to rounding. See Data Documentation Tab 14.</a:t>
          </a:r>
          <a:endParaRPr lang="en-US" b="0">
            <a:solidFill>
              <a:schemeClr val="tx1">
                <a:lumMod val="65000"/>
                <a:lumOff val="35000"/>
              </a:schemeClr>
            </a:solidFill>
            <a:effectLst/>
            <a:latin typeface="Myriad Pro" panose="020B0503030403020204" pitchFamily="34" charset="0"/>
          </a:endParaRPr>
        </a:p>
      </cdr:txBody>
    </cdr:sp>
  </cdr:relSizeAnchor>
  <cdr:relSizeAnchor xmlns:cdr="http://schemas.openxmlformats.org/drawingml/2006/chartDrawing">
    <cdr:from>
      <cdr:x>0</cdr:x>
      <cdr:y>0</cdr:y>
    </cdr:from>
    <cdr:to>
      <cdr:x>0.86071</cdr:x>
      <cdr:y>0.09556</cdr:y>
    </cdr:to>
    <cdr:sp macro="" textlink="">
      <cdr:nvSpPr>
        <cdr:cNvPr id="3" name="TextBox 2"/>
        <cdr:cNvSpPr txBox="1"/>
      </cdr:nvSpPr>
      <cdr:spPr>
        <a:xfrm xmlns:a="http://schemas.openxmlformats.org/drawingml/2006/main">
          <a:off x="0" y="0"/>
          <a:ext cx="5738812" cy="409575"/>
        </a:xfrm>
        <a:prstGeom xmlns:a="http://schemas.openxmlformats.org/drawingml/2006/main" prst="rect">
          <a:avLst/>
        </a:prstGeom>
      </cdr:spPr>
      <cdr:txBody>
        <a:bodyPr xmlns:a="http://schemas.openxmlformats.org/drawingml/2006/main" vertOverflow="clip" wrap="none" rtlCol="0" anchor="t" anchorCtr="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en-US" sz="2000" b="1" i="0" baseline="0">
              <a:solidFill>
                <a:srgbClr val="972421"/>
              </a:solidFill>
              <a:effectLst/>
              <a:latin typeface="Myriad Pro" panose="020B0503030403020204" pitchFamily="34" charset="0"/>
              <a:ea typeface="+mn-ea"/>
              <a:cs typeface="+mn-cs"/>
            </a:rPr>
            <a:t>Taxes as a percent of income, by race &amp; tax, </a:t>
          </a:r>
          <a:r>
            <a:rPr lang="en-US" sz="2000" b="1">
              <a:solidFill>
                <a:srgbClr val="972421"/>
              </a:solidFill>
              <a:latin typeface="Myriad Pro" panose="020B0503030403020204" pitchFamily="34" charset="0"/>
            </a:rPr>
            <a:t>2018</a:t>
          </a:r>
        </a:p>
      </cdr:txBody>
    </cdr:sp>
  </cdr:relSizeAnchor>
  <cdr:relSizeAnchor xmlns:cdr="http://schemas.openxmlformats.org/drawingml/2006/chartDrawing">
    <cdr:from>
      <cdr:x>0.11048</cdr:x>
      <cdr:y>0.17185</cdr:y>
    </cdr:from>
    <cdr:to>
      <cdr:x>0.20741</cdr:x>
      <cdr:y>0.25271</cdr:y>
    </cdr:to>
    <cdr:sp macro="" textlink="">
      <cdr:nvSpPr>
        <cdr:cNvPr id="4" name="TextBox 2"/>
        <cdr:cNvSpPr txBox="1"/>
      </cdr:nvSpPr>
      <cdr:spPr>
        <a:xfrm xmlns:a="http://schemas.openxmlformats.org/drawingml/2006/main">
          <a:off x="736600" y="736600"/>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8.8%</a:t>
          </a:r>
        </a:p>
      </cdr:txBody>
    </cdr:sp>
  </cdr:relSizeAnchor>
  <cdr:relSizeAnchor xmlns:cdr="http://schemas.openxmlformats.org/drawingml/2006/chartDrawing">
    <cdr:from>
      <cdr:x>0.23476</cdr:x>
      <cdr:y>0.17407</cdr:y>
    </cdr:from>
    <cdr:to>
      <cdr:x>0.3317</cdr:x>
      <cdr:y>0.25493</cdr:y>
    </cdr:to>
    <cdr:sp macro="" textlink="">
      <cdr:nvSpPr>
        <cdr:cNvPr id="5" name="TextBox 2"/>
        <cdr:cNvSpPr txBox="1"/>
      </cdr:nvSpPr>
      <cdr:spPr>
        <a:xfrm xmlns:a="http://schemas.openxmlformats.org/drawingml/2006/main">
          <a:off x="1565275" y="746125"/>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8.8%</a:t>
          </a:r>
        </a:p>
      </cdr:txBody>
    </cdr:sp>
  </cdr:relSizeAnchor>
  <cdr:relSizeAnchor xmlns:cdr="http://schemas.openxmlformats.org/drawingml/2006/chartDrawing">
    <cdr:from>
      <cdr:x>0.36048</cdr:x>
      <cdr:y>0.17185</cdr:y>
    </cdr:from>
    <cdr:to>
      <cdr:x>0.45741</cdr:x>
      <cdr:y>0.25271</cdr:y>
    </cdr:to>
    <cdr:sp macro="" textlink="">
      <cdr:nvSpPr>
        <cdr:cNvPr id="6" name="TextBox 2"/>
        <cdr:cNvSpPr txBox="1"/>
      </cdr:nvSpPr>
      <cdr:spPr>
        <a:xfrm xmlns:a="http://schemas.openxmlformats.org/drawingml/2006/main">
          <a:off x="2403475" y="736600"/>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8.8%</a:t>
          </a:r>
        </a:p>
      </cdr:txBody>
    </cdr:sp>
  </cdr:relSizeAnchor>
  <cdr:relSizeAnchor xmlns:cdr="http://schemas.openxmlformats.org/drawingml/2006/chartDrawing">
    <cdr:from>
      <cdr:x>0.49048</cdr:x>
      <cdr:y>0.1363</cdr:y>
    </cdr:from>
    <cdr:to>
      <cdr:x>0.58741</cdr:x>
      <cdr:y>0.21715</cdr:y>
    </cdr:to>
    <cdr:sp macro="" textlink="">
      <cdr:nvSpPr>
        <cdr:cNvPr id="7" name="TextBox 2"/>
        <cdr:cNvSpPr txBox="1"/>
      </cdr:nvSpPr>
      <cdr:spPr>
        <a:xfrm xmlns:a="http://schemas.openxmlformats.org/drawingml/2006/main">
          <a:off x="3270250" y="584200"/>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9.4%</a:t>
          </a:r>
        </a:p>
      </cdr:txBody>
    </cdr:sp>
  </cdr:relSizeAnchor>
  <cdr:relSizeAnchor xmlns:cdr="http://schemas.openxmlformats.org/drawingml/2006/chartDrawing">
    <cdr:from>
      <cdr:x>0.61048</cdr:x>
      <cdr:y>0.16519</cdr:y>
    </cdr:from>
    <cdr:to>
      <cdr:x>0.70741</cdr:x>
      <cdr:y>0.24604</cdr:y>
    </cdr:to>
    <cdr:sp macro="" textlink="">
      <cdr:nvSpPr>
        <cdr:cNvPr id="8" name="TextBox 2"/>
        <cdr:cNvSpPr txBox="1"/>
      </cdr:nvSpPr>
      <cdr:spPr>
        <a:xfrm xmlns:a="http://schemas.openxmlformats.org/drawingml/2006/main">
          <a:off x="4070350" y="708025"/>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8.9%</a:t>
          </a:r>
        </a:p>
      </cdr:txBody>
    </cdr:sp>
  </cdr:relSizeAnchor>
  <cdr:relSizeAnchor xmlns:cdr="http://schemas.openxmlformats.org/drawingml/2006/chartDrawing">
    <cdr:from>
      <cdr:x>0.74048</cdr:x>
      <cdr:y>0.16074</cdr:y>
    </cdr:from>
    <cdr:to>
      <cdr:x>0.83741</cdr:x>
      <cdr:y>0.2416</cdr:y>
    </cdr:to>
    <cdr:sp macro="" textlink="">
      <cdr:nvSpPr>
        <cdr:cNvPr id="9" name="TextBox 2"/>
        <cdr:cNvSpPr txBox="1"/>
      </cdr:nvSpPr>
      <cdr:spPr>
        <a:xfrm xmlns:a="http://schemas.openxmlformats.org/drawingml/2006/main">
          <a:off x="4937125" y="688975"/>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9.0%</a:t>
          </a:r>
        </a:p>
      </cdr:txBody>
    </cdr:sp>
  </cdr:relSizeAnchor>
  <cdr:relSizeAnchor xmlns:cdr="http://schemas.openxmlformats.org/drawingml/2006/chartDrawing">
    <cdr:from>
      <cdr:x>0.86619</cdr:x>
      <cdr:y>0.1563</cdr:y>
    </cdr:from>
    <cdr:to>
      <cdr:x>0.96313</cdr:x>
      <cdr:y>0.23715</cdr:y>
    </cdr:to>
    <cdr:sp macro="" textlink="">
      <cdr:nvSpPr>
        <cdr:cNvPr id="10" name="TextBox 2"/>
        <cdr:cNvSpPr txBox="1"/>
      </cdr:nvSpPr>
      <cdr:spPr>
        <a:xfrm xmlns:a="http://schemas.openxmlformats.org/drawingml/2006/main">
          <a:off x="5775325" y="669925"/>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9.1%</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0.90942</cdr:y>
    </cdr:from>
    <cdr:to>
      <cdr:x>0.74497</cdr:x>
      <cdr:y>1</cdr:y>
    </cdr:to>
    <cdr:sp macro="" textlink="">
      <cdr:nvSpPr>
        <cdr:cNvPr id="2" name="TextBox 1"/>
        <cdr:cNvSpPr txBox="1"/>
      </cdr:nvSpPr>
      <cdr:spPr>
        <a:xfrm xmlns:a="http://schemas.openxmlformats.org/drawingml/2006/main">
          <a:off x="0" y="4331100"/>
          <a:ext cx="6424083" cy="431400"/>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en-US" sz="1100" b="0" i="0" u="none" strike="noStrike">
              <a:solidFill>
                <a:schemeClr val="tx1">
                  <a:lumMod val="75000"/>
                  <a:lumOff val="25000"/>
                </a:schemeClr>
              </a:solidFill>
              <a:effectLst/>
              <a:latin typeface="Myriad Pro" panose="020B0503030403020204" pitchFamily="34" charset="0"/>
              <a:ea typeface="+mn-ea"/>
              <a:cs typeface="+mn-cs"/>
            </a:rPr>
            <a:t>Source: Oklahoma Policy Institute calculations from state appropriations bills, U.S. Department of Labor, and U.S. Census Bureau. Adjusted for inflation and population growth. See Data Documentation Tab 2.</a:t>
          </a:r>
          <a:endParaRPr lang="en-US" sz="1100">
            <a:solidFill>
              <a:schemeClr val="tx1">
                <a:lumMod val="75000"/>
                <a:lumOff val="25000"/>
              </a:schemeClr>
            </a:solidFill>
            <a:latin typeface="Myriad Pro" panose="020B0503030403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204787</xdr:colOff>
      <xdr:row>10</xdr:row>
      <xdr:rowOff>123825</xdr:rowOff>
    </xdr:from>
    <xdr:to>
      <xdr:col>10</xdr:col>
      <xdr:colOff>414337</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0.89935</cdr:y>
    </cdr:from>
    <cdr:to>
      <cdr:x>0.81357</cdr:x>
      <cdr:y>1</cdr:y>
    </cdr:to>
    <cdr:sp macro="" textlink="">
      <cdr:nvSpPr>
        <cdr:cNvPr id="2" name="TextBox 1"/>
        <cdr:cNvSpPr txBox="1"/>
      </cdr:nvSpPr>
      <cdr:spPr>
        <a:xfrm xmlns:a="http://schemas.openxmlformats.org/drawingml/2006/main">
          <a:off x="0" y="3854850"/>
          <a:ext cx="5424487" cy="431400"/>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OK Policy calculations from U.S. Census Bureau and the Institute for Taxation and Economic Policy. Totals may not add due to rounding. See Data Documentation Tab 15. </a:t>
          </a:r>
          <a:endParaRPr lang="en-US" sz="1100">
            <a:solidFill>
              <a:schemeClr val="tx1">
                <a:lumMod val="65000"/>
                <a:lumOff val="35000"/>
              </a:schemeClr>
            </a:solidFill>
            <a:latin typeface="Myriad Pro" panose="020B0503030403020204" pitchFamily="34" charset="0"/>
          </a:endParaRPr>
        </a:p>
      </cdr:txBody>
    </cdr:sp>
  </cdr:relSizeAnchor>
  <cdr:relSizeAnchor xmlns:cdr="http://schemas.openxmlformats.org/drawingml/2006/chartDrawing">
    <cdr:from>
      <cdr:x>0.19476</cdr:x>
      <cdr:y>0.33852</cdr:y>
    </cdr:from>
    <cdr:to>
      <cdr:x>0.2917</cdr:x>
      <cdr:y>0.41937</cdr:y>
    </cdr:to>
    <cdr:sp macro="" textlink="">
      <cdr:nvSpPr>
        <cdr:cNvPr id="3" name="TextBox 2"/>
        <cdr:cNvSpPr txBox="1"/>
      </cdr:nvSpPr>
      <cdr:spPr>
        <a:xfrm xmlns:a="http://schemas.openxmlformats.org/drawingml/2006/main">
          <a:off x="1298575" y="1450975"/>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8.6%</a:t>
          </a:r>
        </a:p>
      </cdr:txBody>
    </cdr:sp>
  </cdr:relSizeAnchor>
  <cdr:relSizeAnchor xmlns:cdr="http://schemas.openxmlformats.org/drawingml/2006/chartDrawing">
    <cdr:from>
      <cdr:x>0.4919</cdr:x>
      <cdr:y>0.30074</cdr:y>
    </cdr:from>
    <cdr:to>
      <cdr:x>0.58884</cdr:x>
      <cdr:y>0.3816</cdr:y>
    </cdr:to>
    <cdr:sp macro="" textlink="">
      <cdr:nvSpPr>
        <cdr:cNvPr id="4" name="TextBox 2"/>
        <cdr:cNvSpPr txBox="1"/>
      </cdr:nvSpPr>
      <cdr:spPr>
        <a:xfrm xmlns:a="http://schemas.openxmlformats.org/drawingml/2006/main">
          <a:off x="3279775" y="1289050"/>
          <a:ext cx="646331"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9.7%</a:t>
          </a:r>
        </a:p>
      </cdr:txBody>
    </cdr:sp>
  </cdr:relSizeAnchor>
  <cdr:relSizeAnchor xmlns:cdr="http://schemas.openxmlformats.org/drawingml/2006/chartDrawing">
    <cdr:from>
      <cdr:x>0.77619</cdr:x>
      <cdr:y>0.27852</cdr:y>
    </cdr:from>
    <cdr:to>
      <cdr:x>0.89021</cdr:x>
      <cdr:y>0.35937</cdr:y>
    </cdr:to>
    <cdr:sp macro="" textlink="">
      <cdr:nvSpPr>
        <cdr:cNvPr id="5" name="TextBox 2"/>
        <cdr:cNvSpPr txBox="1"/>
      </cdr:nvSpPr>
      <cdr:spPr>
        <a:xfrm xmlns:a="http://schemas.openxmlformats.org/drawingml/2006/main">
          <a:off x="5175250" y="1193800"/>
          <a:ext cx="760208" cy="34657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solidFill>
                <a:schemeClr val="tx1">
                  <a:lumMod val="65000"/>
                  <a:lumOff val="35000"/>
                </a:schemeClr>
              </a:solidFill>
              <a:latin typeface="Myriad Pro" panose="020B0503030403020204" pitchFamily="34" charset="0"/>
            </a:rPr>
            <a:t>10.2%</a:t>
          </a:r>
        </a:p>
      </cdr:txBody>
    </cdr:sp>
  </cdr:relSizeAnchor>
</c:userShapes>
</file>

<file path=xl/drawings/drawing22.xml><?xml version="1.0" encoding="utf-8"?>
<xdr:wsDr xmlns:xdr="http://schemas.openxmlformats.org/drawingml/2006/spreadsheetDrawing" xmlns:a="http://schemas.openxmlformats.org/drawingml/2006/main">
  <xdr:twoCellAnchor>
    <xdr:from>
      <xdr:col>2</xdr:col>
      <xdr:colOff>742950</xdr:colOff>
      <xdr:row>102</xdr:row>
      <xdr:rowOff>1905</xdr:rowOff>
    </xdr:from>
    <xdr:to>
      <xdr:col>11</xdr:col>
      <xdr:colOff>217170</xdr:colOff>
      <xdr:row>128</xdr:row>
      <xdr:rowOff>78105</xdr:rowOff>
    </xdr:to>
    <xdr:graphicFrame macro="">
      <xdr:nvGraphicFramePr>
        <xdr:cNvPr id="3" name="Chart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0.89935</cdr:y>
    </cdr:from>
    <cdr:to>
      <cdr:x>0.71286</cdr:x>
      <cdr:y>1</cdr:y>
    </cdr:to>
    <cdr:sp macro="" textlink="">
      <cdr:nvSpPr>
        <cdr:cNvPr id="2" name="TextBox 1"/>
        <cdr:cNvSpPr txBox="1"/>
      </cdr:nvSpPr>
      <cdr:spPr>
        <a:xfrm xmlns:a="http://schemas.openxmlformats.org/drawingml/2006/main">
          <a:off x="0" y="3876675"/>
          <a:ext cx="4752975" cy="431400"/>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OK Policy calculations from U.S. Census Bureau and the Institute for Taxation and Economic Policy. See Data Documentation Tab 16.</a:t>
          </a:r>
          <a:endParaRPr lang="en-US" sz="1100">
            <a:solidFill>
              <a:schemeClr val="tx1">
                <a:lumMod val="65000"/>
                <a:lumOff val="35000"/>
              </a:schemeClr>
            </a:solidFill>
            <a:latin typeface="Myriad Pro" panose="020B0503030403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661035</xdr:colOff>
      <xdr:row>13</xdr:row>
      <xdr:rowOff>97155</xdr:rowOff>
    </xdr:from>
    <xdr:to>
      <xdr:col>14</xdr:col>
      <xdr:colOff>718185</xdr:colOff>
      <xdr:row>37</xdr:row>
      <xdr:rowOff>20955</xdr:rowOff>
    </xdr:to>
    <xdr:graphicFrame macro="">
      <xdr:nvGraphicFramePr>
        <xdr:cNvPr id="4"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cdr:y>
    </cdr:from>
    <cdr:to>
      <cdr:x>0.58153</cdr:x>
      <cdr:y>1</cdr:y>
    </cdr:to>
    <cdr:sp macro="" textlink="">
      <cdr:nvSpPr>
        <cdr:cNvPr id="2" name="TextBox 1"/>
        <cdr:cNvSpPr txBox="1"/>
      </cdr:nvSpPr>
      <cdr:spPr>
        <a:xfrm xmlns:a="http://schemas.openxmlformats.org/drawingml/2006/main">
          <a:off x="0" y="3581401"/>
          <a:ext cx="3877343" cy="228599"/>
        </a:xfrm>
        <a:prstGeom xmlns:a="http://schemas.openxmlformats.org/drawingml/2006/main" prst="rect">
          <a:avLst/>
        </a:prstGeom>
      </cdr:spPr>
      <cdr:txBody>
        <a:bodyPr xmlns:a="http://schemas.openxmlformats.org/drawingml/2006/main" vertOverflow="clip" wrap="none" rtlCol="0" anchor="b" anchorCtr="0">
          <a:no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Tax Policy Center. See Data Documentation Tab 3.</a:t>
          </a:r>
          <a:endParaRPr lang="en-US" sz="1100">
            <a:solidFill>
              <a:schemeClr val="tx1">
                <a:lumMod val="65000"/>
                <a:lumOff val="35000"/>
              </a:schemeClr>
            </a:solidFill>
            <a:latin typeface="Myriad Pro" panose="020B0503030403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118110</xdr:colOff>
      <xdr:row>33</xdr:row>
      <xdr:rowOff>100965</xdr:rowOff>
    </xdr:from>
    <xdr:to>
      <xdr:col>9</xdr:col>
      <xdr:colOff>45720</xdr:colOff>
      <xdr:row>60</xdr:row>
      <xdr:rowOff>15240</xdr:rowOff>
    </xdr:to>
    <xdr:graphicFrame macro="">
      <xdr:nvGraphicFramePr>
        <xdr:cNvPr id="4"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0.88889</cdr:y>
    </cdr:from>
    <cdr:to>
      <cdr:x>0.66143</cdr:x>
      <cdr:y>0.99279</cdr:y>
    </cdr:to>
    <cdr:sp macro="" textlink="">
      <cdr:nvSpPr>
        <cdr:cNvPr id="2" name="TextBox 1"/>
        <cdr:cNvSpPr txBox="1"/>
      </cdr:nvSpPr>
      <cdr:spPr>
        <a:xfrm xmlns:a="http://schemas.openxmlformats.org/drawingml/2006/main">
          <a:off x="0" y="3810000"/>
          <a:ext cx="4410074" cy="445345"/>
        </a:xfrm>
        <a:prstGeom xmlns:a="http://schemas.openxmlformats.org/drawingml/2006/main" prst="rect">
          <a:avLst/>
        </a:prstGeom>
      </cdr:spPr>
      <cdr:txBody>
        <a:bodyPr xmlns:a="http://schemas.openxmlformats.org/drawingml/2006/main" vertOverflow="clip" wrap="square" rtlCol="0" anchor="b" anchorCtr="0">
          <a:noAutofit/>
        </a:bodyPr>
        <a:lstStyle xmlns:a="http://schemas.openxmlformats.org/drawingml/2006/main"/>
        <a:p xmlns:a="http://schemas.openxmlformats.org/drawingml/2006/main">
          <a:r>
            <a:rPr lang="en-US" sz="1100" b="0" i="0" u="none" strike="noStrike">
              <a:solidFill>
                <a:schemeClr val="tx1">
                  <a:lumMod val="65000"/>
                  <a:lumOff val="35000"/>
                </a:schemeClr>
              </a:solidFill>
              <a:effectLst/>
              <a:latin typeface="Myriad Pro" panose="020B0503030403020204" pitchFamily="34" charset="0"/>
              <a:ea typeface="+mn-ea"/>
              <a:cs typeface="+mn-cs"/>
            </a:rPr>
            <a:t>Source: Region Track and OK Policy calculations from </a:t>
          </a:r>
          <a:br>
            <a:rPr lang="en-US" sz="1100" b="0" i="0" u="none" strike="noStrike">
              <a:solidFill>
                <a:schemeClr val="tx1">
                  <a:lumMod val="65000"/>
                  <a:lumOff val="35000"/>
                </a:schemeClr>
              </a:solidFill>
              <a:effectLst/>
              <a:latin typeface="Myriad Pro" panose="020B0503030403020204" pitchFamily="34" charset="0"/>
              <a:ea typeface="+mn-ea"/>
              <a:cs typeface="+mn-cs"/>
            </a:rPr>
          </a:br>
          <a:r>
            <a:rPr lang="en-US" sz="1100" b="0" i="0" u="none" strike="noStrike">
              <a:solidFill>
                <a:schemeClr val="tx1">
                  <a:lumMod val="65000"/>
                  <a:lumOff val="35000"/>
                </a:schemeClr>
              </a:solidFill>
              <a:effectLst/>
              <a:latin typeface="Myriad Pro" panose="020B0503030403020204" pitchFamily="34" charset="0"/>
              <a:ea typeface="+mn-ea"/>
              <a:cs typeface="+mn-cs"/>
            </a:rPr>
            <a:t>Oklahoma Tax Commission data. See Data Documentation Tab 4.</a:t>
          </a:r>
          <a:endParaRPr lang="en-US" sz="1100">
            <a:solidFill>
              <a:schemeClr val="tx1">
                <a:lumMod val="65000"/>
                <a:lumOff val="35000"/>
              </a:schemeClr>
            </a:solidFill>
            <a:latin typeface="Myriad Pro" panose="020B0503030403020204" pitchFamily="34" charset="0"/>
          </a:endParaRPr>
        </a:p>
      </cdr:txBody>
    </cdr:sp>
  </cdr:relSizeAnchor>
  <cdr:relSizeAnchor xmlns:cdr="http://schemas.openxmlformats.org/drawingml/2006/chartDrawing">
    <cdr:from>
      <cdr:x>0.12571</cdr:x>
      <cdr:y>0.76222</cdr:y>
    </cdr:from>
    <cdr:to>
      <cdr:x>0.17286</cdr:x>
      <cdr:y>0.83778</cdr:y>
    </cdr:to>
    <cdr:sp macro="" textlink="">
      <cdr:nvSpPr>
        <cdr:cNvPr id="3" name="TextBox 2"/>
        <cdr:cNvSpPr txBox="1"/>
      </cdr:nvSpPr>
      <cdr:spPr>
        <a:xfrm xmlns:a="http://schemas.openxmlformats.org/drawingml/2006/main">
          <a:off x="838200" y="3267075"/>
          <a:ext cx="314325" cy="3238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r"/>
          <a:r>
            <a:rPr lang="en-US" sz="1200">
              <a:solidFill>
                <a:schemeClr val="tx1">
                  <a:lumMod val="65000"/>
                  <a:lumOff val="35000"/>
                </a:schemeClr>
              </a:solidFill>
              <a:latin typeface="Myriad Pro" panose="020B0503030403020204" pitchFamily="34" charset="0"/>
            </a:rPr>
            <a:t>$ 0</a:t>
          </a:r>
        </a:p>
      </cdr:txBody>
    </cdr:sp>
  </cdr:relSizeAnchor>
</c:userShapes>
</file>

<file path=xl/drawings/drawing7.xml><?xml version="1.0" encoding="utf-8"?>
<xdr:wsDr xmlns:xdr="http://schemas.openxmlformats.org/drawingml/2006/spreadsheetDrawing" xmlns:a="http://schemas.openxmlformats.org/drawingml/2006/main">
  <xdr:oneCellAnchor>
    <xdr:from>
      <xdr:col>19</xdr:col>
      <xdr:colOff>0</xdr:colOff>
      <xdr:row>33</xdr:row>
      <xdr:rowOff>0</xdr:rowOff>
    </xdr:from>
    <xdr:ext cx="6332220" cy="3893820"/>
    <xdr:graphicFrame macro="">
      <xdr:nvGraphicFramePr>
        <xdr:cNvPr id="3" name="Chart 2" title="Chart">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1115483</xdr:colOff>
      <xdr:row>13</xdr:row>
      <xdr:rowOff>28152</xdr:rowOff>
    </xdr:from>
    <xdr:ext cx="6667500" cy="4286250"/>
    <xdr:graphicFrame macro="">
      <xdr:nvGraphicFramePr>
        <xdr:cNvPr id="4" name="Chart 3" title="Chart">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8.xml><?xml version="1.0" encoding="utf-8"?>
<c:userShapes xmlns:c="http://schemas.openxmlformats.org/drawingml/2006/chart">
  <cdr:relSizeAnchor xmlns:cdr="http://schemas.openxmlformats.org/drawingml/2006/chartDrawing">
    <cdr:from>
      <cdr:x>0.026</cdr:x>
      <cdr:y>0.90943</cdr:y>
    </cdr:from>
    <cdr:to>
      <cdr:x>0.186</cdr:x>
      <cdr:y>1</cdr:y>
    </cdr:to>
    <cdr:sp macro="" textlink="">
      <cdr:nvSpPr>
        <cdr:cNvPr id="2" name="TextBox 1"/>
        <cdr:cNvSpPr txBox="1"/>
      </cdr:nvSpPr>
      <cdr:spPr>
        <a:xfrm xmlns:a="http://schemas.openxmlformats.org/drawingml/2006/main">
          <a:off x="148590" y="3213735"/>
          <a:ext cx="914400" cy="320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amounts in billions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0.89935</cdr:y>
    </cdr:from>
    <cdr:to>
      <cdr:x>0.62698</cdr:x>
      <cdr:y>1</cdr:y>
    </cdr:to>
    <cdr:sp macro="" textlink="">
      <cdr:nvSpPr>
        <cdr:cNvPr id="2" name="TextBox 1"/>
        <cdr:cNvSpPr txBox="1"/>
      </cdr:nvSpPr>
      <cdr:spPr>
        <a:xfrm xmlns:a="http://schemas.openxmlformats.org/drawingml/2006/main">
          <a:off x="0" y="3854850"/>
          <a:ext cx="4180417" cy="431400"/>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pPr algn="l"/>
          <a:r>
            <a:rPr lang="en-US" sz="1100">
              <a:solidFill>
                <a:schemeClr val="tx1">
                  <a:lumMod val="65000"/>
                  <a:lumOff val="35000"/>
                </a:schemeClr>
              </a:solidFill>
              <a:latin typeface="Myriad Pro" panose="020B0503030403020204" pitchFamily="34" charset="0"/>
            </a:rPr>
            <a:t>Source: Oklahoma Policy Institute calculations from </a:t>
          </a:r>
          <a:br>
            <a:rPr lang="en-US" sz="1100">
              <a:solidFill>
                <a:schemeClr val="tx1">
                  <a:lumMod val="65000"/>
                  <a:lumOff val="35000"/>
                </a:schemeClr>
              </a:solidFill>
              <a:latin typeface="Myriad Pro" panose="020B0503030403020204" pitchFamily="34" charset="0"/>
            </a:rPr>
          </a:br>
          <a:r>
            <a:rPr lang="en-US" sz="1100">
              <a:solidFill>
                <a:schemeClr val="tx1">
                  <a:lumMod val="65000"/>
                  <a:lumOff val="35000"/>
                </a:schemeClr>
              </a:solidFill>
              <a:latin typeface="Myriad Pro" panose="020B0503030403020204" pitchFamily="34" charset="0"/>
            </a:rPr>
            <a:t>Oklahoma Tax Commission Data. See Data Documentation Tab 5.</a:t>
          </a:r>
        </a:p>
      </cdr:txBody>
    </cdr:sp>
  </cdr:relSizeAnchor>
  <cdr:relSizeAnchor xmlns:cdr="http://schemas.openxmlformats.org/drawingml/2006/chartDrawing">
    <cdr:from>
      <cdr:x>0.09094</cdr:x>
      <cdr:y>0.89282</cdr:y>
    </cdr:from>
    <cdr:to>
      <cdr:x>0.21607</cdr:x>
      <cdr:y>0.96998</cdr:y>
    </cdr:to>
    <cdr:sp macro="" textlink="">
      <cdr:nvSpPr>
        <cdr:cNvPr id="3" name="TextBox 1"/>
        <cdr:cNvSpPr txBox="1"/>
      </cdr:nvSpPr>
      <cdr:spPr>
        <a:xfrm xmlns:a="http://schemas.openxmlformats.org/drawingml/2006/main">
          <a:off x="828066" y="5966460"/>
          <a:ext cx="1139421" cy="515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0.00429</cdr:x>
      <cdr:y>0.22963</cdr:y>
    </cdr:from>
    <cdr:to>
      <cdr:x>0.22698</cdr:x>
      <cdr:y>0.29328</cdr:y>
    </cdr:to>
    <cdr:sp macro="" textlink="">
      <cdr:nvSpPr>
        <cdr:cNvPr id="4" name="TextBox 1"/>
        <cdr:cNvSpPr txBox="1"/>
      </cdr:nvSpPr>
      <cdr:spPr>
        <a:xfrm xmlns:a="http://schemas.openxmlformats.org/drawingml/2006/main">
          <a:off x="28575" y="984250"/>
          <a:ext cx="1484842" cy="2728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solidFill>
                <a:schemeClr val="tx1">
                  <a:lumMod val="65000"/>
                  <a:lumOff val="35000"/>
                </a:schemeClr>
              </a:solidFill>
              <a:latin typeface="Myriad Pro" panose="020B0503030403020204" pitchFamily="34" charset="0"/>
            </a:rPr>
            <a:t>$ amounts in billions</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okhighered.org/studies-reports/tuition-fees/fy21-tuition-fees.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8.bin"/><Relationship Id="rId1" Type="http://schemas.openxmlformats.org/officeDocument/2006/relationships/hyperlink" Target="https://itep.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itep.org/"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oklahoma.gov/tax/reporting-resources/publications.html?q=copo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itep.org/"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3" Type="http://schemas.openxmlformats.org/officeDocument/2006/relationships/hyperlink" Target="https://oklahoma.gov/content/dam/ok/en/tax/documents/forms/individuals/past-year/2004/511-Pkt-2004.pdf" TargetMode="External"/><Relationship Id="rId2" Type="http://schemas.openxmlformats.org/officeDocument/2006/relationships/hyperlink" Target="http://webserver1.lsb.state.ok.us/cf_pdf/2021-22%20ENR/hB/HB2962%20ENR.PDF" TargetMode="External"/><Relationship Id="rId1" Type="http://schemas.openxmlformats.org/officeDocument/2006/relationships/hyperlink" Target="https://www.ok.gov/treasurer/documents/Jun-20_GRT_Charts.pdf" TargetMode="External"/><Relationship Id="rId5" Type="http://schemas.openxmlformats.org/officeDocument/2006/relationships/hyperlink" Target="https://www.tax-brackets.org/federaltaxtable/2022" TargetMode="External"/><Relationship Id="rId4" Type="http://schemas.openxmlformats.org/officeDocument/2006/relationships/hyperlink" Target="https://www.tax-brackets.org/federaltaxtable/2005"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oklahoma.gov/content/dam/ok/en/okhca/docs/research/data-and-reports/annual-report/SFY%202020%20Appendix.pdf" TargetMode="External"/><Relationship Id="rId7" Type="http://schemas.openxmlformats.org/officeDocument/2006/relationships/printerSettings" Target="../printerSettings/printerSettings2.bin"/><Relationship Id="rId2" Type="http://schemas.openxmlformats.org/officeDocument/2006/relationships/hyperlink" Target="https://oklahoma.gov/content/dam/ok/en/okhca/docs/research/data-and-reports/annual-report/SFY%202020%20Appendix.pdf" TargetMode="External"/><Relationship Id="rId1" Type="http://schemas.openxmlformats.org/officeDocument/2006/relationships/hyperlink" Target="https://www.census.gov/quickfacts/OK" TargetMode="External"/><Relationship Id="rId6" Type="http://schemas.openxmlformats.org/officeDocument/2006/relationships/hyperlink" Target="https://oklahoma.gov/content/dam/ok/en/okdhs/documents/okdhs-report-library/s19034_dhs2019annualreport_ccr_11122019.pdf" TargetMode="External"/><Relationship Id="rId5" Type="http://schemas.openxmlformats.org/officeDocument/2006/relationships/hyperlink" Target="https://www.bts.gov/browse-statistical-products-and-data/state-transportation-statistics/state-highway-travel" TargetMode="External"/><Relationship Id="rId4" Type="http://schemas.openxmlformats.org/officeDocument/2006/relationships/hyperlink" Target="https://data.census.gov/cedsci/table?q=United%20States&amp;t=Age%20and%20Sex&amp;g=0400000US40&amp;tid=ACSST1Y2019.S0101"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taxadmin.memberclicks.net/assets/docs/Research/Rates/corp_inc.pdf" TargetMode="External"/><Relationship Id="rId1" Type="http://schemas.openxmlformats.org/officeDocument/2006/relationships/hyperlink" Target="https://www.pewtrusts.org/-/media/assets/2019/07/how-states-raise-their-tax-dollars-downloadable-data.xlsx"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taxadmin.org/sales-taxation-of-services" TargetMode="External"/><Relationship Id="rId2" Type="http://schemas.openxmlformats.org/officeDocument/2006/relationships/hyperlink" Target="http://dor.mo.gov/business/sales/rates/2015/" TargetMode="External"/><Relationship Id="rId1" Type="http://schemas.openxmlformats.org/officeDocument/2006/relationships/hyperlink" Target="https://www.boe.ca.gov/formspubs/pub100/"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census.gov/programs-surveys/popest/technical-documentation/research/evaluation-estimates/2020-evaluation-estimates/2010s-state-total.html" TargetMode="External"/><Relationship Id="rId2" Type="http://schemas.openxmlformats.org/officeDocument/2006/relationships/hyperlink" Target="https://www.statista.com/statistics/437717/music-streaming-revenue-usa/" TargetMode="External"/><Relationship Id="rId1" Type="http://schemas.openxmlformats.org/officeDocument/2006/relationships/hyperlink" Target="https://www.businessofapps.com/data/video-streaming-app-market/" TargetMode="External"/><Relationship Id="rId4" Type="http://schemas.openxmlformats.org/officeDocument/2006/relationships/hyperlink" Target="https://www.census.gov/library/stories/2021/04/2020-census-data-release.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hyperlink" Target="https://itep.sfo2.digitaloceanspaces.com/whopays-ITEP-2018.pdf" TargetMode="External"/><Relationship Id="rId1" Type="http://schemas.openxmlformats.org/officeDocument/2006/relationships/hyperlink" Target="https://oklahoma.gov/content/dam/ok/en/tax/documents/resources/reports/annual-reports/otc/AR-2019.pdf"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irs.gov/pub/irs-soi/20dbs02t09ap.xlsx" TargetMode="External"/><Relationship Id="rId1" Type="http://schemas.openxmlformats.org/officeDocument/2006/relationships/hyperlink" Target="https://www.irs.gov/pub/irs-soi/18in37ok.xlsx"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data.census.gov/cedsci/table?q=income%20in%20oklahoma&amp;tid=ACSST1Y2019.S1901"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data.census.gov/cedsci/table?g=0400000US40&amp;d=ACS%205-Year%20Estimates%20Data%20Profiles&amp;tid=ACSDP5Y2018.DP04" TargetMode="External"/><Relationship Id="rId2" Type="http://schemas.openxmlformats.org/officeDocument/2006/relationships/hyperlink" Target="https://okpolicy.org/resources/online-budget-guide/revenues/an-overview-of-our-tax-system/oklahomas-major-taxes/property-tax/" TargetMode="External"/><Relationship Id="rId1" Type="http://schemas.openxmlformats.org/officeDocument/2006/relationships/hyperlink" Target="https://oklahoma.gov/content/dam/ok/en/tax/documents/resources/publications/ad-valorem/2020StatBook.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red.stlouisfed.org/series/OKPOP" TargetMode="External"/><Relationship Id="rId1" Type="http://schemas.openxmlformats.org/officeDocument/2006/relationships/hyperlink" Target="https://fred.stlouisfed.org/series/A829RD3Q086SBEA" TargetMode="External"/><Relationship Id="rId4"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telco.com/fiber-infrastructure/" TargetMode="External"/><Relationship Id="rId13" Type="http://schemas.openxmlformats.org/officeDocument/2006/relationships/printerSettings" Target="../printerSettings/printerSettings12.bin"/><Relationship Id="rId3" Type="http://schemas.openxmlformats.org/officeDocument/2006/relationships/hyperlink" Target="https://www.nea.org/sites/default/files/2021-04/2021%20Rankings_and_Estimates_Report.pdf" TargetMode="External"/><Relationship Id="rId7" Type="http://schemas.openxmlformats.org/officeDocument/2006/relationships/hyperlink" Target="http://webserver1.lsb.state.ok.us/cf_pdf/2021-22%20SUPPORT%20DOCUMENTS/BILLSUM/House/SB608%20CCS%20BILLSUM.PDF" TargetMode="External"/><Relationship Id="rId12" Type="http://schemas.openxmlformats.org/officeDocument/2006/relationships/hyperlink" Target="http://www.okloft.gov/Reports/CIRB_Report.pdf" TargetMode="External"/><Relationship Id="rId2" Type="http://schemas.openxmlformats.org/officeDocument/2006/relationships/hyperlink" Target="https://okpolicy.org/fy-2020-budget-highlights/" TargetMode="External"/><Relationship Id="rId1" Type="http://schemas.openxmlformats.org/officeDocument/2006/relationships/hyperlink" Target="https://oklahoma.gov/content/dam/ok/en/tax/documents/resources/reports/annual-reports/ad-valorem/ADVAR-2020.pdf" TargetMode="External"/><Relationship Id="rId6" Type="http://schemas.openxmlformats.org/officeDocument/2006/relationships/hyperlink" Target="https://www.okhighered.org/studies-reports/fin-aid-report/financial-aid-18-19.pdf" TargetMode="External"/><Relationship Id="rId11" Type="http://schemas.openxmlformats.org/officeDocument/2006/relationships/hyperlink" Target="https://sdeweb01.sde.ok.gov/OCAS_Reporting/docs/RevenueReportFromOcasStatewide2020.pdf" TargetMode="External"/><Relationship Id="rId5" Type="http://schemas.openxmlformats.org/officeDocument/2006/relationships/hyperlink" Target="https://oklahoma.gov/content/dam/ok/en/tax/documents/resources/reports/annual-reports/otc/AR-2020.pdf" TargetMode="External"/><Relationship Id="rId10" Type="http://schemas.openxmlformats.org/officeDocument/2006/relationships/hyperlink" Target="https://www.nea.org/sites/default/files/2021-04/2021%20Rankings_and_Estimates_Report.pdf" TargetMode="External"/><Relationship Id="rId4" Type="http://schemas.openxmlformats.org/officeDocument/2006/relationships/hyperlink" Target="https://www.odot.org/cwp-8-year-plan/cwp_ffy2020-ffy2027/8_year_construction_work_plan.pdf" TargetMode="External"/><Relationship Id="rId9" Type="http://schemas.openxmlformats.org/officeDocument/2006/relationships/hyperlink" Target="http://webserver1.lsb.state.ok.us/cf_pdf/2021-22%20SUPPORT%20DOCUMENTS/BILLSUM/House/SB1080%20CS%20BILLSUM.PDF"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oklahoma.gov/content/dam/ok/en/tax/documents/resources/reports/annual-reports/ad-valorem/ADVAR-2020.pdf" TargetMode="External"/><Relationship Id="rId3" Type="http://schemas.openxmlformats.org/officeDocument/2006/relationships/hyperlink" Target="https://www.google.com/about/datacenters/locations/mayes-county/" TargetMode="External"/><Relationship Id="rId7" Type="http://schemas.openxmlformats.org/officeDocument/2006/relationships/hyperlink" Target="https://www.enidnews.com/news/ag_energy/kingfisher-wind-no-completion-by-end-of-year-deadline/article_f95be8d9-3160-52d4-ba9c-0bf9875b2487.html" TargetMode="External"/><Relationship Id="rId2" Type="http://schemas.openxmlformats.org/officeDocument/2006/relationships/hyperlink" Target="https://iec.ok.gov/sites/g/files/gmc216/f/Investment%20New%20Jobs%20Tax%20Credit_11.09.18_FINAL.PDF" TargetMode="External"/><Relationship Id="rId1" Type="http://schemas.openxmlformats.org/officeDocument/2006/relationships/hyperlink" Target="https://iec.ok.gov/sites/g/files/gmc216/f/Ad%20Valorem%20Exemption%20for%20Manufacturing%20Final%20Evaluation_112816.pdf" TargetMode="External"/><Relationship Id="rId6" Type="http://schemas.openxmlformats.org/officeDocument/2006/relationships/hyperlink" Target="https://www.power-technology.com/projects/kay-wind-project-kay-county-oklahoma/" TargetMode="External"/><Relationship Id="rId5" Type="http://schemas.openxmlformats.org/officeDocument/2006/relationships/hyperlink" Target="https://www.tulsaworld.com/business/hollyfrontier-limits-onsite-staff-at-all-facilities-to-essential-operational-personnel-only/article_11d23e1a-99de-5f3e-8fd5-0375ebb411ac.html" TargetMode="External"/><Relationship Id="rId4" Type="http://schemas.openxmlformats.org/officeDocument/2006/relationships/hyperlink" Target="https://www.enidnews.com/news/local_news/koch-fertilizer-looks-to-expand-enid-plant/article_29b37475-b66d-56ac-bc0a-071ee42ffc59.html" TargetMode="External"/><Relationship Id="rId9"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apps.bea.gov/itable/iTable.cfm?ReqID=70&amp;step=1" TargetMode="External"/><Relationship Id="rId1" Type="http://schemas.openxmlformats.org/officeDocument/2006/relationships/hyperlink" Target="https://www.taxpolicycenter.org/statistics/state-and-local-tax-revenue-percentage-personal-incom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oklahoma.gov/content/dam/ok/en/tax/documents/resources/reports/annual-reports/otc/AR-2019.pdf" TargetMode="External"/><Relationship Id="rId2" Type="http://schemas.openxmlformats.org/officeDocument/2006/relationships/hyperlink" Target="https://oklahoma.gov/content/dam/ok/en/tax/documents/resources/reports/annual-reports/otc/AR-2020.pdf" TargetMode="External"/><Relationship Id="rId1" Type="http://schemas.openxmlformats.org/officeDocument/2006/relationships/hyperlink" Target="https://www.regiontrack.com/www/wp-content/uploads/RegionTrack-OK-Oil-Gas-Taxation-20180121.pdf" TargetMode="External"/><Relationship Id="rId6" Type="http://schemas.openxmlformats.org/officeDocument/2006/relationships/drawing" Target="../drawings/drawing5.xml"/><Relationship Id="rId5" Type="http://schemas.openxmlformats.org/officeDocument/2006/relationships/printerSettings" Target="../printerSettings/printerSettings4.bin"/><Relationship Id="rId4" Type="http://schemas.openxmlformats.org/officeDocument/2006/relationships/hyperlink" Target="https://oklahoma.gov/content/dam/ok/en/tax/documents/resources/reports/annual-reports/otc/AR-2018.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oklahoma.gov/tax/reporting-resources/reports.html?q=annualreports" TargetMode="External"/><Relationship Id="rId2" Type="http://schemas.openxmlformats.org/officeDocument/2006/relationships/hyperlink" Target="https://oklahoma.gov/tax/reporting-resources/reports.html" TargetMode="External"/><Relationship Id="rId1" Type="http://schemas.openxmlformats.org/officeDocument/2006/relationships/hyperlink" Target="https://oklahoma.gov/omes/services/budget/budget-books-archive.html" TargetMode="External"/><Relationship Id="rId5" Type="http://schemas.openxmlformats.org/officeDocument/2006/relationships/drawing" Target="../drawings/drawing7.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klahoma.gov/tax/reporting-resources/reports.html?q=taxexpenditur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fred.stlouisfed.org/series/COOILGASRGSP" TargetMode="External"/><Relationship Id="rId18" Type="http://schemas.openxmlformats.org/officeDocument/2006/relationships/hyperlink" Target="https://fred.stlouisfed.org/series/TXOILGASRGSP" TargetMode="External"/><Relationship Id="rId26" Type="http://schemas.openxmlformats.org/officeDocument/2006/relationships/hyperlink" Target="https://fred.stlouisfed.org/series/LANA" TargetMode="External"/><Relationship Id="rId39" Type="http://schemas.openxmlformats.org/officeDocument/2006/relationships/drawing" Target="../drawings/drawing10.xml"/><Relationship Id="rId21" Type="http://schemas.openxmlformats.org/officeDocument/2006/relationships/hyperlink" Target="https://fred.stlouisfed.org/series/OKNA" TargetMode="External"/><Relationship Id="rId34" Type="http://schemas.openxmlformats.org/officeDocument/2006/relationships/hyperlink" Target="https://fred.stlouisfed.org/series/MEHOINUSmoA672N" TargetMode="External"/><Relationship Id="rId7" Type="http://schemas.openxmlformats.org/officeDocument/2006/relationships/hyperlink" Target="https://fred.stlouisfed.org/series/LARGSP" TargetMode="External"/><Relationship Id="rId12" Type="http://schemas.openxmlformats.org/officeDocument/2006/relationships/hyperlink" Target="https://fred.stlouisfed.org/series/AROILGASRGSP" TargetMode="External"/><Relationship Id="rId17" Type="http://schemas.openxmlformats.org/officeDocument/2006/relationships/hyperlink" Target="https://fred.stlouisfed.org/series/NMOILGASRGSP" TargetMode="External"/><Relationship Id="rId25" Type="http://schemas.openxmlformats.org/officeDocument/2006/relationships/hyperlink" Target="https://fred.stlouisfed.org/series/KSNA" TargetMode="External"/><Relationship Id="rId33" Type="http://schemas.openxmlformats.org/officeDocument/2006/relationships/hyperlink" Target="https://fred.stlouisfed.org/series/MEHOINUSLAA672N" TargetMode="External"/><Relationship Id="rId38" Type="http://schemas.openxmlformats.org/officeDocument/2006/relationships/hyperlink" Target="https://fred.stlouisfed.org/series/MEHOINUSOKA672N" TargetMode="External"/><Relationship Id="rId2" Type="http://schemas.openxmlformats.org/officeDocument/2006/relationships/hyperlink" Target="https://www.taxpolicycenter.org/statistics/state-and-local-direct-general-expenditures-percentage-personal-income" TargetMode="External"/><Relationship Id="rId16" Type="http://schemas.openxmlformats.org/officeDocument/2006/relationships/hyperlink" Target="https://fred.stlouisfed.org/series/MOOILGASRGSP" TargetMode="External"/><Relationship Id="rId20" Type="http://schemas.openxmlformats.org/officeDocument/2006/relationships/hyperlink" Target="https://fred.stlouisfed.org/series/USOILGASRGSP" TargetMode="External"/><Relationship Id="rId29" Type="http://schemas.openxmlformats.org/officeDocument/2006/relationships/hyperlink" Target="https://fred.stlouisfed.org/series/TXNA" TargetMode="External"/><Relationship Id="rId1" Type="http://schemas.openxmlformats.org/officeDocument/2006/relationships/hyperlink" Target="https://www.taxpolicycenter.org/statistics/state-and-local-tax-revenue-percentage-personal-income" TargetMode="External"/><Relationship Id="rId6" Type="http://schemas.openxmlformats.org/officeDocument/2006/relationships/hyperlink" Target="https://fred.stlouisfed.org/series/CORGSP" TargetMode="External"/><Relationship Id="rId11" Type="http://schemas.openxmlformats.org/officeDocument/2006/relationships/hyperlink" Target="https://fred.stlouisfed.org/series/OKOILGASRGSP" TargetMode="External"/><Relationship Id="rId24" Type="http://schemas.openxmlformats.org/officeDocument/2006/relationships/hyperlink" Target="https://fred.stlouisfed.org/series/CONA" TargetMode="External"/><Relationship Id="rId32" Type="http://schemas.openxmlformats.org/officeDocument/2006/relationships/hyperlink" Target="https://fred.stlouisfed.org/series/MEHOINUSKSA672N" TargetMode="External"/><Relationship Id="rId37" Type="http://schemas.openxmlformats.org/officeDocument/2006/relationships/hyperlink" Target="https://fred.stlouisfed.org/series/MEHOINUSA672N" TargetMode="External"/><Relationship Id="rId5" Type="http://schemas.openxmlformats.org/officeDocument/2006/relationships/hyperlink" Target="https://fred.stlouisfed.org/series/KSRGSP" TargetMode="External"/><Relationship Id="rId15" Type="http://schemas.openxmlformats.org/officeDocument/2006/relationships/hyperlink" Target="https://fred.stlouisfed.org/series/LAOILGASRGSP" TargetMode="External"/><Relationship Id="rId23" Type="http://schemas.openxmlformats.org/officeDocument/2006/relationships/hyperlink" Target="https://fred.stlouisfed.org/series/ARNA" TargetMode="External"/><Relationship Id="rId28" Type="http://schemas.openxmlformats.org/officeDocument/2006/relationships/hyperlink" Target="https://fred.stlouisfed.org/series/NMNA" TargetMode="External"/><Relationship Id="rId36" Type="http://schemas.openxmlformats.org/officeDocument/2006/relationships/hyperlink" Target="https://fred.stlouisfed.org/series/MEHOINUSTXA672N" TargetMode="External"/><Relationship Id="rId10" Type="http://schemas.openxmlformats.org/officeDocument/2006/relationships/hyperlink" Target="https://fred.stlouisfed.org/series/TXRGSP" TargetMode="External"/><Relationship Id="rId19" Type="http://schemas.openxmlformats.org/officeDocument/2006/relationships/hyperlink" Target="https://fred.stlouisfed.org/series/GDPCA" TargetMode="External"/><Relationship Id="rId31" Type="http://schemas.openxmlformats.org/officeDocument/2006/relationships/hyperlink" Target="https://fred.stlouisfed.org/series/MEHOINUSCOA672N" TargetMode="External"/><Relationship Id="rId4" Type="http://schemas.openxmlformats.org/officeDocument/2006/relationships/hyperlink" Target="https://fred.stlouisfed.org/series/ARRGSP" TargetMode="External"/><Relationship Id="rId9" Type="http://schemas.openxmlformats.org/officeDocument/2006/relationships/hyperlink" Target="https://fred.stlouisfed.org/series/NMRGSP" TargetMode="External"/><Relationship Id="rId14" Type="http://schemas.openxmlformats.org/officeDocument/2006/relationships/hyperlink" Target="https://fred.stlouisfed.org/series/KSOILGASRGSP" TargetMode="External"/><Relationship Id="rId22" Type="http://schemas.openxmlformats.org/officeDocument/2006/relationships/hyperlink" Target="https://fred.stlouisfed.org/series/PAYEMS" TargetMode="External"/><Relationship Id="rId27" Type="http://schemas.openxmlformats.org/officeDocument/2006/relationships/hyperlink" Target="https://fred.stlouisfed.org/series/MONA" TargetMode="External"/><Relationship Id="rId30" Type="http://schemas.openxmlformats.org/officeDocument/2006/relationships/hyperlink" Target="https://fred.stlouisfed.org/series/ARNA" TargetMode="External"/><Relationship Id="rId35" Type="http://schemas.openxmlformats.org/officeDocument/2006/relationships/hyperlink" Target="https://fred.stlouisfed.org/series/MEHOINUSNMA672N" TargetMode="External"/><Relationship Id="rId8" Type="http://schemas.openxmlformats.org/officeDocument/2006/relationships/hyperlink" Target="https://fred.stlouisfed.org/series/MORGSP" TargetMode="External"/><Relationship Id="rId3" Type="http://schemas.openxmlformats.org/officeDocument/2006/relationships/hyperlink" Target="https://fred.stlouisfed.org/series/OKRGS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0" zoomScaleNormal="120" workbookViewId="0">
      <selection activeCell="A10" sqref="A10"/>
    </sheetView>
  </sheetViews>
  <sheetFormatPr defaultRowHeight="12.75" x14ac:dyDescent="0.2"/>
  <cols>
    <col min="1" max="1" width="19.140625" customWidth="1"/>
    <col min="2" max="2" width="21.7109375" customWidth="1"/>
    <col min="3" max="3" width="17.7109375" customWidth="1"/>
  </cols>
  <sheetData>
    <row r="1" spans="1:9" x14ac:dyDescent="0.2">
      <c r="A1" t="s">
        <v>3529</v>
      </c>
    </row>
    <row r="2" spans="1:9" x14ac:dyDescent="0.2">
      <c r="A2" t="s">
        <v>3530</v>
      </c>
      <c r="B2" t="s">
        <v>3531</v>
      </c>
      <c r="C2" t="s">
        <v>633</v>
      </c>
    </row>
    <row r="3" spans="1:9" x14ac:dyDescent="0.2">
      <c r="A3" s="48">
        <v>1</v>
      </c>
      <c r="B3">
        <v>1</v>
      </c>
      <c r="C3" t="s">
        <v>3535</v>
      </c>
    </row>
    <row r="4" spans="1:9" s="313" customFormat="1" x14ac:dyDescent="0.2">
      <c r="A4" s="48">
        <v>2</v>
      </c>
      <c r="B4">
        <v>1</v>
      </c>
      <c r="C4" s="32" t="s">
        <v>3580</v>
      </c>
    </row>
    <row r="5" spans="1:9" x14ac:dyDescent="0.2">
      <c r="A5" s="48">
        <v>3</v>
      </c>
      <c r="B5">
        <v>1</v>
      </c>
      <c r="C5" s="32" t="s">
        <v>3579</v>
      </c>
    </row>
    <row r="6" spans="1:9" x14ac:dyDescent="0.2">
      <c r="A6" s="48">
        <v>4</v>
      </c>
      <c r="B6">
        <v>1</v>
      </c>
      <c r="C6" s="32" t="s">
        <v>3581</v>
      </c>
    </row>
    <row r="7" spans="1:9" x14ac:dyDescent="0.2">
      <c r="A7" s="48">
        <v>5</v>
      </c>
      <c r="B7">
        <v>1</v>
      </c>
      <c r="C7" s="32" t="s">
        <v>3582</v>
      </c>
    </row>
    <row r="8" spans="1:9" x14ac:dyDescent="0.2">
      <c r="A8" s="48">
        <v>6</v>
      </c>
      <c r="B8">
        <v>1</v>
      </c>
      <c r="C8" s="32" t="s">
        <v>3583</v>
      </c>
      <c r="D8" s="313"/>
      <c r="E8" s="313"/>
      <c r="F8" s="313"/>
      <c r="G8" s="313"/>
      <c r="H8" s="313"/>
      <c r="I8" s="313"/>
    </row>
    <row r="9" spans="1:9" x14ac:dyDescent="0.2">
      <c r="A9" s="48">
        <v>7</v>
      </c>
      <c r="B9">
        <v>1</v>
      </c>
      <c r="C9" s="32" t="s">
        <v>3586</v>
      </c>
      <c r="D9" s="313"/>
      <c r="E9" s="313"/>
      <c r="F9" s="313"/>
      <c r="G9" s="313"/>
      <c r="H9" s="313"/>
      <c r="I9" s="313"/>
    </row>
    <row r="10" spans="1:9" x14ac:dyDescent="0.2">
      <c r="A10" s="48">
        <v>8</v>
      </c>
      <c r="B10">
        <v>1</v>
      </c>
      <c r="C10" s="32" t="s">
        <v>3607</v>
      </c>
    </row>
    <row r="11" spans="1:9" x14ac:dyDescent="0.2">
      <c r="A11" s="48">
        <v>9</v>
      </c>
      <c r="B11">
        <v>1</v>
      </c>
      <c r="C11" s="32" t="s">
        <v>3608</v>
      </c>
    </row>
    <row r="12" spans="1:9" x14ac:dyDescent="0.2">
      <c r="A12" s="48">
        <v>10</v>
      </c>
      <c r="B12">
        <v>2</v>
      </c>
      <c r="C12" t="s">
        <v>3611</v>
      </c>
    </row>
    <row r="13" spans="1:9" x14ac:dyDescent="0.2">
      <c r="A13" s="48">
        <v>11</v>
      </c>
      <c r="B13">
        <v>2</v>
      </c>
      <c r="C13" t="s">
        <v>3612</v>
      </c>
    </row>
    <row r="14" spans="1:9" x14ac:dyDescent="0.2">
      <c r="A14" s="48">
        <v>12</v>
      </c>
      <c r="B14">
        <v>2</v>
      </c>
      <c r="C14" t="s">
        <v>3533</v>
      </c>
    </row>
    <row r="15" spans="1:9" x14ac:dyDescent="0.2">
      <c r="A15" s="48">
        <v>13</v>
      </c>
      <c r="B15">
        <v>2</v>
      </c>
      <c r="C15" t="s">
        <v>3614</v>
      </c>
    </row>
    <row r="16" spans="1:9" x14ac:dyDescent="0.2">
      <c r="A16" s="48">
        <v>14</v>
      </c>
      <c r="B16">
        <v>2</v>
      </c>
      <c r="C16" t="s">
        <v>3615</v>
      </c>
    </row>
    <row r="17" spans="1:3" x14ac:dyDescent="0.2">
      <c r="A17" s="48">
        <v>15</v>
      </c>
      <c r="B17">
        <v>2</v>
      </c>
      <c r="C17" s="300" t="s">
        <v>3617</v>
      </c>
    </row>
    <row r="18" spans="1:3" x14ac:dyDescent="0.2">
      <c r="A18" s="48">
        <v>16</v>
      </c>
      <c r="B18">
        <v>2</v>
      </c>
      <c r="C18" t="s">
        <v>3616</v>
      </c>
    </row>
    <row r="19" spans="1:3" x14ac:dyDescent="0.2">
      <c r="A19" s="48">
        <v>17</v>
      </c>
      <c r="B19">
        <v>3</v>
      </c>
      <c r="C19" s="300" t="s">
        <v>3464</v>
      </c>
    </row>
    <row r="20" spans="1:3" x14ac:dyDescent="0.2">
      <c r="A20" s="48">
        <v>18</v>
      </c>
      <c r="B20">
        <v>3</v>
      </c>
      <c r="C20" s="300" t="s">
        <v>3502</v>
      </c>
    </row>
    <row r="21" spans="1:3" x14ac:dyDescent="0.2">
      <c r="A21" s="48">
        <v>19</v>
      </c>
      <c r="B21">
        <v>3</v>
      </c>
      <c r="C21" s="284" t="s">
        <v>3135</v>
      </c>
    </row>
    <row r="22" spans="1:3" x14ac:dyDescent="0.2">
      <c r="A22" s="48">
        <v>20</v>
      </c>
      <c r="B22">
        <v>3</v>
      </c>
      <c r="C22" s="176" t="s">
        <v>3503</v>
      </c>
    </row>
    <row r="23" spans="1:3" x14ac:dyDescent="0.2">
      <c r="A23" s="48">
        <v>21</v>
      </c>
      <c r="B23">
        <v>3</v>
      </c>
      <c r="C23" s="300" t="s">
        <v>3534</v>
      </c>
    </row>
    <row r="24" spans="1:3" x14ac:dyDescent="0.2">
      <c r="A24" s="48">
        <v>22</v>
      </c>
      <c r="B24">
        <v>3</v>
      </c>
      <c r="C24" s="300" t="s">
        <v>3504</v>
      </c>
    </row>
    <row r="25" spans="1:3" x14ac:dyDescent="0.2">
      <c r="A25" s="48">
        <v>23</v>
      </c>
      <c r="B25">
        <v>3</v>
      </c>
      <c r="C25" s="300" t="s">
        <v>3333</v>
      </c>
    </row>
    <row r="26" spans="1:3" x14ac:dyDescent="0.2">
      <c r="A26" s="48">
        <v>24</v>
      </c>
      <c r="B26">
        <v>3</v>
      </c>
      <c r="C26" s="32" t="s">
        <v>3511</v>
      </c>
    </row>
    <row r="27" spans="1:3" x14ac:dyDescent="0.2">
      <c r="A27" s="48">
        <v>25</v>
      </c>
      <c r="B27">
        <v>3</v>
      </c>
      <c r="C27" s="32" t="s">
        <v>3517</v>
      </c>
    </row>
    <row r="28" spans="1:3" x14ac:dyDescent="0.2">
      <c r="A28" s="48">
        <v>26</v>
      </c>
      <c r="B28">
        <v>3</v>
      </c>
      <c r="C28" s="32" t="s">
        <v>3519</v>
      </c>
    </row>
    <row r="29" spans="1:3" x14ac:dyDescent="0.2">
      <c r="A29" s="48">
        <v>27</v>
      </c>
      <c r="B29" s="312">
        <v>3</v>
      </c>
      <c r="C29" s="32" t="s">
        <v>3571</v>
      </c>
    </row>
    <row r="30" spans="1:3" x14ac:dyDescent="0.2">
      <c r="A30" s="48">
        <v>28</v>
      </c>
      <c r="B30" s="316">
        <v>3</v>
      </c>
      <c r="C30" s="32" t="s">
        <v>3619</v>
      </c>
    </row>
    <row r="31" spans="1:3" x14ac:dyDescent="0.2">
      <c r="A31" s="48">
        <v>29</v>
      </c>
      <c r="B31">
        <v>3</v>
      </c>
      <c r="C31" s="32" t="s">
        <v>3620</v>
      </c>
    </row>
    <row r="32" spans="1:3" x14ac:dyDescent="0.2">
      <c r="A32" s="48">
        <v>30</v>
      </c>
      <c r="B32">
        <v>3</v>
      </c>
      <c r="C32" s="32" t="s">
        <v>3521</v>
      </c>
    </row>
  </sheetData>
  <hyperlinks>
    <hyperlink ref="A3" location="'1'!A1" display="'1'!A1"/>
    <hyperlink ref="A4" location="'2'!A1" display="'2'!A1"/>
    <hyperlink ref="A5" location="'3'!A1" display="'3'!A1"/>
    <hyperlink ref="A6" location="'4'!A1" display="'4'!A1"/>
    <hyperlink ref="A7" location="'5'!A1" display="'5'!A1"/>
    <hyperlink ref="A8" location="'6'!A1" display="'6'!A1"/>
    <hyperlink ref="A9" location="'7'!A1" display="'7'!A1"/>
    <hyperlink ref="A10" location="'8'!A1" display="'8'!A1"/>
    <hyperlink ref="A11" location="'9'!A1" display="'9'!A1"/>
    <hyperlink ref="A12" location="'10'!A1" display="'10'!A1"/>
    <hyperlink ref="A13" location="'11'!A1" display="'11'!A1"/>
    <hyperlink ref="A14" location="'12'!A1" display="'12'!A1"/>
    <hyperlink ref="A15" location="'13'!A1" display="'13'!A1"/>
    <hyperlink ref="A16" location="'14'!A1" display="'14'!A1"/>
    <hyperlink ref="A17" location="'15'!A1" display="'15'!A1"/>
    <hyperlink ref="A18" location="'16'!A1" display="'16'!A1"/>
    <hyperlink ref="A19" location="'17'!A1" display="'17'!A1"/>
    <hyperlink ref="A20" location="'18'!A1" display="'18'!A1"/>
    <hyperlink ref="A21" location="'19'!A1" display="'19'!A1"/>
    <hyperlink ref="A22" location="'20'!A1" display="'20'!A1"/>
    <hyperlink ref="A23" location="'21'!A1" display="'21'!A1"/>
    <hyperlink ref="A24" location="'22'!A1" display="'22'!A1"/>
    <hyperlink ref="A25" location="'23'!A1" display="'23'!A1"/>
    <hyperlink ref="A26" location="'24'!A1" display="'24'!A1"/>
    <hyperlink ref="A27" location="'25'!A1" display="'25'!A1"/>
    <hyperlink ref="A28" location="'26'!A1" display="'26'!A1"/>
    <hyperlink ref="A29" location="'27'!A1" display="'27'!A1"/>
    <hyperlink ref="A30" location="'28'!A1" display="'28'!A1"/>
    <hyperlink ref="A31" location="'29'!A1" display="'29'!A1"/>
    <hyperlink ref="A32" location="'30'!A1" display="'30'!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 sqref="H1"/>
    </sheetView>
  </sheetViews>
  <sheetFormatPr defaultRowHeight="12.75" x14ac:dyDescent="0.2"/>
  <cols>
    <col min="4" max="6" width="16.7109375" customWidth="1"/>
  </cols>
  <sheetData>
    <row r="1" spans="1:8" x14ac:dyDescent="0.2">
      <c r="A1" t="s">
        <v>295</v>
      </c>
      <c r="B1">
        <v>1</v>
      </c>
      <c r="H1" s="48" t="s">
        <v>3630</v>
      </c>
    </row>
    <row r="2" spans="1:8" x14ac:dyDescent="0.2">
      <c r="A2" t="s">
        <v>633</v>
      </c>
    </row>
    <row r="3" spans="1:8" x14ac:dyDescent="0.2">
      <c r="A3" t="s">
        <v>135</v>
      </c>
      <c r="B3" t="s">
        <v>3609</v>
      </c>
      <c r="E3" s="48" t="s">
        <v>161</v>
      </c>
    </row>
    <row r="4" spans="1:8" s="316" customFormat="1" x14ac:dyDescent="0.2">
      <c r="E4" s="48"/>
    </row>
    <row r="5" spans="1:8" s="316" customFormat="1" x14ac:dyDescent="0.2">
      <c r="E5" s="48"/>
    </row>
    <row r="6" spans="1:8" ht="51" x14ac:dyDescent="0.2">
      <c r="D6" s="112" t="s">
        <v>3565</v>
      </c>
      <c r="E6" s="112" t="s">
        <v>3568</v>
      </c>
      <c r="F6" s="112" t="s">
        <v>3569</v>
      </c>
    </row>
    <row r="7" spans="1:8" x14ac:dyDescent="0.2">
      <c r="D7" t="s">
        <v>3566</v>
      </c>
      <c r="E7" s="55">
        <f>AVERAGE(117.9,131.35)</f>
        <v>124.625</v>
      </c>
      <c r="F7" s="55">
        <f>AVERAGE(450.6,476.5)</f>
        <v>463.55</v>
      </c>
    </row>
    <row r="8" spans="1:8" x14ac:dyDescent="0.2">
      <c r="D8" t="s">
        <v>3567</v>
      </c>
      <c r="E8" s="55">
        <f>AVERAGE(159.6,178.55)</f>
        <v>169.07499999999999</v>
      </c>
      <c r="F8" s="55">
        <f>AVERAGE(672.3,695.9)</f>
        <v>684.09999999999991</v>
      </c>
    </row>
    <row r="9" spans="1:8" x14ac:dyDescent="0.2">
      <c r="D9" t="s">
        <v>3570</v>
      </c>
      <c r="E9" s="225">
        <f>+E8/E7-1</f>
        <v>0.35667001003009013</v>
      </c>
      <c r="F9" s="225">
        <f>+F8/F7-1</f>
        <v>0.47578470499406733</v>
      </c>
    </row>
    <row r="11" spans="1:8" x14ac:dyDescent="0.2">
      <c r="A11" t="s">
        <v>3610</v>
      </c>
    </row>
  </sheetData>
  <hyperlinks>
    <hyperlink ref="E3" r:id="rId1" location="page=23"/>
    <hyperlink ref="H1" location="Index!A1" display="Return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 sqref="H1"/>
    </sheetView>
  </sheetViews>
  <sheetFormatPr defaultRowHeight="12.75" x14ac:dyDescent="0.2"/>
  <cols>
    <col min="1" max="1" width="38" bestFit="1" customWidth="1"/>
    <col min="2" max="2" width="7.7109375" customWidth="1"/>
  </cols>
  <sheetData>
    <row r="1" spans="1:8" x14ac:dyDescent="0.2">
      <c r="A1" s="32" t="s">
        <v>162</v>
      </c>
      <c r="B1">
        <v>2</v>
      </c>
      <c r="H1" s="48" t="s">
        <v>3630</v>
      </c>
    </row>
    <row r="2" spans="1:8" x14ac:dyDescent="0.2">
      <c r="A2" s="32" t="s">
        <v>163</v>
      </c>
      <c r="B2">
        <v>7</v>
      </c>
    </row>
    <row r="3" spans="1:8" s="100" customFormat="1" x14ac:dyDescent="0.2">
      <c r="A3" s="48" t="s">
        <v>553</v>
      </c>
    </row>
    <row r="4" spans="1:8" s="100" customFormat="1" x14ac:dyDescent="0.2">
      <c r="A4" s="688"/>
      <c r="B4" s="687"/>
      <c r="C4" s="687"/>
      <c r="D4" s="687"/>
      <c r="E4" s="687"/>
      <c r="F4" s="687"/>
      <c r="G4" s="687"/>
      <c r="H4" s="687"/>
    </row>
    <row r="5" spans="1:8" s="100" customFormat="1" x14ac:dyDescent="0.2">
      <c r="A5" s="687"/>
      <c r="B5" s="755" t="s">
        <v>554</v>
      </c>
      <c r="C5" s="755"/>
      <c r="D5" s="755"/>
      <c r="E5" s="755"/>
      <c r="F5" s="755"/>
      <c r="G5" s="755"/>
      <c r="H5" s="687"/>
    </row>
    <row r="6" spans="1:8" s="40" customFormat="1" ht="15" customHeight="1" x14ac:dyDescent="0.2">
      <c r="A6" s="688" t="s">
        <v>63</v>
      </c>
      <c r="B6" s="688">
        <v>1996</v>
      </c>
      <c r="C6" s="688">
        <v>2003</v>
      </c>
      <c r="D6" s="688">
        <v>2009</v>
      </c>
      <c r="E6" s="688">
        <v>2013</v>
      </c>
      <c r="F6" s="688">
        <v>2015</v>
      </c>
      <c r="G6" s="688">
        <v>2018</v>
      </c>
      <c r="H6" s="159"/>
    </row>
    <row r="7" spans="1:8" s="107" customFormat="1" ht="15" customHeight="1" x14ac:dyDescent="0.2">
      <c r="A7" s="734" t="s">
        <v>114</v>
      </c>
      <c r="B7" s="735">
        <v>9.9</v>
      </c>
      <c r="C7" s="735">
        <v>12</v>
      </c>
      <c r="D7" s="735">
        <v>9.9</v>
      </c>
      <c r="E7" s="735">
        <v>10.3</v>
      </c>
      <c r="F7" s="735">
        <v>10.5</v>
      </c>
      <c r="G7" s="735">
        <v>13.2</v>
      </c>
      <c r="H7" s="736"/>
    </row>
    <row r="8" spans="1:8" s="40" customFormat="1" ht="15" customHeight="1" x14ac:dyDescent="0.2">
      <c r="A8" s="688" t="s">
        <v>73</v>
      </c>
      <c r="B8" s="737">
        <v>12</v>
      </c>
      <c r="C8" s="737">
        <v>10.7</v>
      </c>
      <c r="D8" s="737">
        <v>12.1</v>
      </c>
      <c r="E8" s="737">
        <v>11.9</v>
      </c>
      <c r="F8" s="737">
        <v>11.9</v>
      </c>
      <c r="G8" s="737">
        <v>11.2</v>
      </c>
      <c r="H8" s="159"/>
    </row>
    <row r="9" spans="1:8" s="40" customFormat="1" ht="15" customHeight="1" x14ac:dyDescent="0.2">
      <c r="A9" s="688" t="s">
        <v>75</v>
      </c>
      <c r="B9" s="737">
        <v>10</v>
      </c>
      <c r="C9" s="737">
        <v>9.9</v>
      </c>
      <c r="D9" s="737">
        <v>9</v>
      </c>
      <c r="E9" s="737">
        <v>8.9</v>
      </c>
      <c r="F9" s="737">
        <v>8.4</v>
      </c>
      <c r="G9" s="737">
        <v>8.7999999999999989</v>
      </c>
      <c r="H9" s="159"/>
    </row>
    <row r="10" spans="1:8" s="40" customFormat="1" ht="15" customHeight="1" x14ac:dyDescent="0.2">
      <c r="A10" s="688" t="s">
        <v>89</v>
      </c>
      <c r="B10" s="737">
        <v>11</v>
      </c>
      <c r="C10" s="737">
        <v>11.5</v>
      </c>
      <c r="D10" s="737">
        <v>9.1999999999999993</v>
      </c>
      <c r="E10" s="737">
        <v>10.3</v>
      </c>
      <c r="F10" s="737">
        <v>11.1</v>
      </c>
      <c r="G10" s="737">
        <v>11.4</v>
      </c>
      <c r="H10" s="159"/>
    </row>
    <row r="11" spans="1:8" s="40" customFormat="1" ht="15" customHeight="1" x14ac:dyDescent="0.2">
      <c r="A11" s="688" t="s">
        <v>91</v>
      </c>
      <c r="B11" s="737">
        <v>13.4</v>
      </c>
      <c r="C11" s="737">
        <v>11.5</v>
      </c>
      <c r="D11" s="737">
        <v>10.4</v>
      </c>
      <c r="E11" s="737">
        <v>10.6</v>
      </c>
      <c r="F11" s="737">
        <v>10</v>
      </c>
      <c r="G11" s="737">
        <v>11.899999999999999</v>
      </c>
      <c r="H11" s="159"/>
    </row>
    <row r="12" spans="1:8" s="40" customFormat="1" ht="15" customHeight="1" x14ac:dyDescent="0.2">
      <c r="A12" s="688" t="s">
        <v>551</v>
      </c>
      <c r="B12" s="737">
        <v>11.5</v>
      </c>
      <c r="C12" s="737">
        <v>10</v>
      </c>
      <c r="D12" s="737">
        <v>9.6</v>
      </c>
      <c r="E12" s="737">
        <v>9.6</v>
      </c>
      <c r="F12" s="737">
        <v>9.5</v>
      </c>
      <c r="G12" s="737">
        <v>9.8000000000000007</v>
      </c>
      <c r="H12" s="159"/>
    </row>
    <row r="13" spans="1:8" s="40" customFormat="1" ht="15" customHeight="1" x14ac:dyDescent="0.2">
      <c r="A13" s="688" t="s">
        <v>552</v>
      </c>
      <c r="B13" s="737">
        <v>15</v>
      </c>
      <c r="C13" s="737">
        <v>12.1</v>
      </c>
      <c r="D13" s="737">
        <v>10.8</v>
      </c>
      <c r="E13" s="737">
        <v>10.6</v>
      </c>
      <c r="F13" s="737">
        <v>10.9</v>
      </c>
      <c r="G13" s="737">
        <v>10.600000000000001</v>
      </c>
      <c r="H13" s="159"/>
    </row>
    <row r="14" spans="1:8" s="40" customFormat="1" ht="15" customHeight="1" x14ac:dyDescent="0.2">
      <c r="A14" s="688" t="s">
        <v>122</v>
      </c>
      <c r="B14" s="737">
        <v>13.8</v>
      </c>
      <c r="C14" s="737">
        <v>11.4</v>
      </c>
      <c r="D14" s="737">
        <v>12.2</v>
      </c>
      <c r="E14" s="737">
        <v>12.6</v>
      </c>
      <c r="F14" s="737">
        <v>12.5</v>
      </c>
      <c r="G14" s="737">
        <v>13</v>
      </c>
      <c r="H14" s="159"/>
    </row>
    <row r="15" spans="1:8" s="107" customFormat="1" ht="15" customHeight="1" x14ac:dyDescent="0.2">
      <c r="A15" s="734" t="s">
        <v>555</v>
      </c>
      <c r="B15" s="735">
        <f t="shared" ref="B15:G15" si="0">MEDIAN(B8:B14)</f>
        <v>12</v>
      </c>
      <c r="C15" s="735">
        <f t="shared" si="0"/>
        <v>11.4</v>
      </c>
      <c r="D15" s="735">
        <f t="shared" si="0"/>
        <v>10.4</v>
      </c>
      <c r="E15" s="735">
        <f t="shared" si="0"/>
        <v>10.6</v>
      </c>
      <c r="F15" s="735">
        <f t="shared" si="0"/>
        <v>10.9</v>
      </c>
      <c r="G15" s="735">
        <f t="shared" si="0"/>
        <v>11.2</v>
      </c>
      <c r="H15" s="736"/>
    </row>
    <row r="16" spans="1:8" x14ac:dyDescent="0.2">
      <c r="A16" s="687"/>
      <c r="B16" s="687"/>
      <c r="C16" s="687"/>
      <c r="D16" s="687"/>
      <c r="E16" s="687"/>
      <c r="F16" s="687"/>
      <c r="G16" s="687"/>
      <c r="H16" s="687"/>
    </row>
    <row r="17" spans="1:8" s="100" customFormat="1" x14ac:dyDescent="0.2">
      <c r="A17" s="687"/>
      <c r="B17" s="687"/>
      <c r="C17" s="687"/>
      <c r="D17" s="687"/>
      <c r="E17" s="687"/>
      <c r="F17" s="687"/>
      <c r="G17" s="687"/>
      <c r="H17" s="687"/>
    </row>
  </sheetData>
  <mergeCells count="1">
    <mergeCell ref="B5:G5"/>
  </mergeCells>
  <hyperlinks>
    <hyperlink ref="A3" r:id="rId1"/>
    <hyperlink ref="H1" location="Index!A1" display="Return to Index"/>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workbookViewId="0">
      <selection activeCell="H1" sqref="H1"/>
    </sheetView>
  </sheetViews>
  <sheetFormatPr defaultRowHeight="12.75" x14ac:dyDescent="0.2"/>
  <cols>
    <col min="4" max="4" width="23.5703125" customWidth="1"/>
    <col min="5" max="5" width="12.7109375" customWidth="1"/>
    <col min="6" max="6" width="12.7109375" style="57" customWidth="1"/>
    <col min="7" max="7" width="12.7109375" customWidth="1"/>
    <col min="8" max="8" width="12.7109375" style="57" customWidth="1"/>
    <col min="9" max="9" width="12.7109375" customWidth="1"/>
    <col min="10" max="10" width="12.7109375" style="57" customWidth="1"/>
    <col min="11" max="11" width="12.7109375" customWidth="1"/>
    <col min="12" max="12" width="12.7109375" style="57" customWidth="1"/>
    <col min="13" max="13" width="12.7109375" customWidth="1"/>
    <col min="14" max="14" width="12.7109375" style="57" customWidth="1"/>
    <col min="15" max="17" width="12.7109375" customWidth="1"/>
    <col min="18" max="18" width="12.7109375" style="57" customWidth="1"/>
    <col min="19" max="29" width="12.7109375" customWidth="1"/>
  </cols>
  <sheetData>
    <row r="1" spans="1:29" x14ac:dyDescent="0.2">
      <c r="A1" s="32" t="s">
        <v>162</v>
      </c>
      <c r="B1">
        <v>2</v>
      </c>
      <c r="H1" s="309" t="s">
        <v>3630</v>
      </c>
    </row>
    <row r="2" spans="1:29" x14ac:dyDescent="0.2">
      <c r="A2" s="32" t="s">
        <v>163</v>
      </c>
      <c r="B2">
        <v>8</v>
      </c>
    </row>
    <row r="4" spans="1:29" s="147" customFormat="1" x14ac:dyDescent="0.2">
      <c r="A4" s="32" t="s">
        <v>3156</v>
      </c>
      <c r="F4" s="57"/>
      <c r="H4" s="57"/>
      <c r="J4" s="57"/>
      <c r="L4" s="57"/>
      <c r="N4" s="57"/>
      <c r="R4" s="57"/>
    </row>
    <row r="5" spans="1:29" x14ac:dyDescent="0.2">
      <c r="A5" s="32" t="s">
        <v>135</v>
      </c>
      <c r="B5" s="32" t="s">
        <v>3141</v>
      </c>
      <c r="C5" s="147"/>
      <c r="D5" s="147"/>
      <c r="E5" s="147"/>
      <c r="G5" s="147"/>
      <c r="I5" s="147"/>
      <c r="K5" s="147"/>
      <c r="M5" s="48" t="s">
        <v>138</v>
      </c>
      <c r="O5" s="147"/>
      <c r="P5" s="147"/>
      <c r="Q5" s="147"/>
      <c r="S5" s="756"/>
      <c r="T5" s="757"/>
      <c r="U5" s="756"/>
      <c r="V5" s="757"/>
      <c r="W5" s="147"/>
      <c r="X5" s="147"/>
      <c r="Y5" s="147"/>
      <c r="Z5" s="147"/>
      <c r="AA5" s="147"/>
      <c r="AB5" s="147"/>
      <c r="AC5" s="147"/>
    </row>
    <row r="6" spans="1:29" s="147" customFormat="1" ht="50.45" customHeight="1" x14ac:dyDescent="0.2">
      <c r="A6" s="32"/>
      <c r="B6" s="32"/>
      <c r="F6" s="186"/>
      <c r="G6" s="185"/>
      <c r="H6" s="186"/>
      <c r="I6" s="758" t="s">
        <v>3144</v>
      </c>
      <c r="J6" s="758"/>
      <c r="K6" s="758"/>
      <c r="L6" s="758"/>
      <c r="M6" s="758"/>
      <c r="N6" s="758"/>
      <c r="O6" s="759"/>
      <c r="P6" s="760" t="s">
        <v>3154</v>
      </c>
      <c r="Q6" s="761"/>
      <c r="R6" s="761"/>
      <c r="S6" s="184"/>
      <c r="U6" s="184"/>
    </row>
    <row r="7" spans="1:29" s="112" customFormat="1" ht="110.25" x14ac:dyDescent="0.25">
      <c r="A7" s="247"/>
      <c r="B7" s="247"/>
      <c r="C7" s="247"/>
      <c r="D7" s="248" t="s">
        <v>63</v>
      </c>
      <c r="E7" s="248" t="s">
        <v>61</v>
      </c>
      <c r="F7" s="249" t="s">
        <v>3142</v>
      </c>
      <c r="G7" s="250" t="s">
        <v>3143</v>
      </c>
      <c r="H7" s="249" t="s">
        <v>3145</v>
      </c>
      <c r="I7" s="248" t="s">
        <v>3146</v>
      </c>
      <c r="J7" s="251" t="s">
        <v>3147</v>
      </c>
      <c r="K7" s="248" t="s">
        <v>3148</v>
      </c>
      <c r="L7" s="251" t="s">
        <v>3149</v>
      </c>
      <c r="M7" s="248" t="s">
        <v>3150</v>
      </c>
      <c r="N7" s="251" t="s">
        <v>3151</v>
      </c>
      <c r="O7" s="250" t="s">
        <v>3152</v>
      </c>
      <c r="P7" s="248" t="s">
        <v>3153</v>
      </c>
      <c r="Q7" s="252" t="s">
        <v>3142</v>
      </c>
      <c r="R7" s="253" t="s">
        <v>3459</v>
      </c>
    </row>
    <row r="8" spans="1:29" ht="15.75" x14ac:dyDescent="0.25">
      <c r="A8" s="188"/>
      <c r="B8" s="188"/>
      <c r="C8" s="188"/>
      <c r="D8" s="254" t="s">
        <v>3099</v>
      </c>
      <c r="E8" s="254">
        <v>1995</v>
      </c>
      <c r="F8" s="255">
        <v>11300</v>
      </c>
      <c r="G8" s="256">
        <v>9.9</v>
      </c>
      <c r="H8" s="255">
        <v>78900</v>
      </c>
      <c r="I8" s="257">
        <v>7.6</v>
      </c>
      <c r="J8" s="258">
        <v>145000</v>
      </c>
      <c r="K8" s="257">
        <v>6.1</v>
      </c>
      <c r="L8" s="258">
        <v>522000</v>
      </c>
      <c r="M8" s="257">
        <v>5</v>
      </c>
      <c r="N8" s="259">
        <f t="shared" ref="N8:O15" si="0">(0.15*H8+0.04*J8+0.01*L8)/0.2</f>
        <v>114275</v>
      </c>
      <c r="O8" s="260">
        <f t="shared" si="0"/>
        <v>7.169999999999999</v>
      </c>
      <c r="P8" s="194">
        <f>+O8-G8</f>
        <v>-2.7300000000000013</v>
      </c>
      <c r="Q8" s="195">
        <f>+F8</f>
        <v>11300</v>
      </c>
      <c r="R8" s="196">
        <f>+Q8*P8/100</f>
        <v>-308.49000000000012</v>
      </c>
      <c r="S8" s="179"/>
      <c r="T8" s="179"/>
      <c r="U8" s="179"/>
      <c r="V8" s="179"/>
      <c r="W8" s="180"/>
      <c r="X8" s="178"/>
      <c r="Y8" s="42"/>
      <c r="Z8" s="42"/>
      <c r="AA8" s="42"/>
      <c r="AB8" s="42"/>
      <c r="AC8" s="42"/>
    </row>
    <row r="9" spans="1:29" ht="15.75" x14ac:dyDescent="0.25">
      <c r="A9" s="188"/>
      <c r="B9" s="188"/>
      <c r="C9" s="188"/>
      <c r="D9" s="254" t="s">
        <v>745</v>
      </c>
      <c r="E9" s="254">
        <v>1995</v>
      </c>
      <c r="F9" s="255">
        <v>10200</v>
      </c>
      <c r="G9" s="256">
        <v>12</v>
      </c>
      <c r="H9" s="255">
        <v>72200</v>
      </c>
      <c r="I9" s="257">
        <v>8.1</v>
      </c>
      <c r="J9" s="258">
        <v>128000</v>
      </c>
      <c r="K9" s="257">
        <v>6.8</v>
      </c>
      <c r="L9" s="258">
        <v>494000</v>
      </c>
      <c r="M9" s="257">
        <v>5.7</v>
      </c>
      <c r="N9" s="259">
        <f t="shared" si="0"/>
        <v>104450</v>
      </c>
      <c r="O9" s="260">
        <f t="shared" si="0"/>
        <v>7.7199999999999989</v>
      </c>
      <c r="P9" s="194">
        <f t="shared" ref="P9:P66" si="1">+O9-G9</f>
        <v>-4.2800000000000011</v>
      </c>
      <c r="Q9" s="195">
        <f t="shared" ref="Q9:Q66" si="2">+F9</f>
        <v>10200</v>
      </c>
      <c r="R9" s="196">
        <f t="shared" ref="R9:R65" si="3">+Q9*P9/100</f>
        <v>-436.56000000000017</v>
      </c>
      <c r="S9" s="179"/>
      <c r="T9" s="179"/>
      <c r="U9" s="179"/>
      <c r="V9" s="179"/>
      <c r="W9" s="180"/>
      <c r="X9" s="178"/>
      <c r="Y9" s="42"/>
      <c r="Z9" s="42"/>
      <c r="AA9" s="42"/>
      <c r="AB9" s="42"/>
      <c r="AC9" s="42"/>
    </row>
    <row r="10" spans="1:29" ht="15.75" x14ac:dyDescent="0.25">
      <c r="A10" s="188"/>
      <c r="B10" s="188"/>
      <c r="C10" s="188"/>
      <c r="D10" s="254" t="s">
        <v>748</v>
      </c>
      <c r="E10" s="254">
        <v>1995</v>
      </c>
      <c r="F10" s="255">
        <v>16700</v>
      </c>
      <c r="G10" s="256">
        <v>9.9</v>
      </c>
      <c r="H10" s="255">
        <v>95600</v>
      </c>
      <c r="I10" s="257">
        <v>6.6</v>
      </c>
      <c r="J10" s="258">
        <v>181000</v>
      </c>
      <c r="K10" s="257">
        <v>5.6</v>
      </c>
      <c r="L10" s="258">
        <v>708000</v>
      </c>
      <c r="M10" s="257">
        <v>5.0999999999999996</v>
      </c>
      <c r="N10" s="259">
        <f t="shared" si="0"/>
        <v>143300</v>
      </c>
      <c r="O10" s="260">
        <f t="shared" si="0"/>
        <v>6.3249999999999993</v>
      </c>
      <c r="P10" s="194">
        <f t="shared" si="1"/>
        <v>-3.5750000000000011</v>
      </c>
      <c r="Q10" s="195">
        <f t="shared" si="2"/>
        <v>16700</v>
      </c>
      <c r="R10" s="196">
        <f t="shared" si="3"/>
        <v>-597.02500000000009</v>
      </c>
      <c r="S10" s="179"/>
      <c r="T10" s="179"/>
      <c r="U10" s="179"/>
      <c r="V10" s="179"/>
      <c r="W10" s="180"/>
      <c r="X10" s="178"/>
      <c r="Y10" s="42"/>
      <c r="Z10" s="42"/>
      <c r="AA10" s="42"/>
      <c r="AB10" s="42"/>
      <c r="AC10" s="42"/>
    </row>
    <row r="11" spans="1:29" ht="15.75" x14ac:dyDescent="0.25">
      <c r="A11" s="188"/>
      <c r="B11" s="188"/>
      <c r="C11" s="188"/>
      <c r="D11" s="254" t="s">
        <v>759</v>
      </c>
      <c r="E11" s="254">
        <v>1995</v>
      </c>
      <c r="F11" s="255">
        <v>17600</v>
      </c>
      <c r="G11" s="256">
        <v>10.9</v>
      </c>
      <c r="H11" s="255">
        <v>87200</v>
      </c>
      <c r="I11" s="257">
        <v>7.8</v>
      </c>
      <c r="J11" s="258">
        <v>158000</v>
      </c>
      <c r="K11" s="257">
        <v>6.6</v>
      </c>
      <c r="L11" s="258">
        <v>667000</v>
      </c>
      <c r="M11" s="257">
        <v>5.9</v>
      </c>
      <c r="N11" s="259">
        <f t="shared" si="0"/>
        <v>130350</v>
      </c>
      <c r="O11" s="260">
        <f t="shared" si="0"/>
        <v>7.464999999999999</v>
      </c>
      <c r="P11" s="194">
        <f t="shared" si="1"/>
        <v>-3.4350000000000014</v>
      </c>
      <c r="Q11" s="195">
        <f t="shared" si="2"/>
        <v>17600</v>
      </c>
      <c r="R11" s="196">
        <f t="shared" si="3"/>
        <v>-604.56000000000017</v>
      </c>
      <c r="S11" s="179"/>
      <c r="T11" s="179"/>
      <c r="U11" s="179"/>
      <c r="V11" s="179"/>
      <c r="W11" s="180"/>
      <c r="X11" s="178"/>
      <c r="Y11" s="42"/>
      <c r="Z11" s="42"/>
      <c r="AA11" s="42"/>
      <c r="AB11" s="42"/>
      <c r="AC11" s="42"/>
    </row>
    <row r="12" spans="1:29" ht="15.75" x14ac:dyDescent="0.25">
      <c r="A12" s="188"/>
      <c r="B12" s="188"/>
      <c r="C12" s="188"/>
      <c r="D12" s="254" t="s">
        <v>3138</v>
      </c>
      <c r="E12" s="254">
        <v>1995</v>
      </c>
      <c r="F12" s="255">
        <v>11300</v>
      </c>
      <c r="G12" s="256">
        <v>13.4</v>
      </c>
      <c r="H12" s="255">
        <v>80700</v>
      </c>
      <c r="I12" s="257">
        <v>7.4</v>
      </c>
      <c r="J12" s="258">
        <v>151000</v>
      </c>
      <c r="K12" s="257">
        <v>5.6</v>
      </c>
      <c r="L12" s="258">
        <v>551000</v>
      </c>
      <c r="M12" s="257">
        <v>4.8</v>
      </c>
      <c r="N12" s="259">
        <f t="shared" si="0"/>
        <v>118275</v>
      </c>
      <c r="O12" s="260">
        <f t="shared" si="0"/>
        <v>6.91</v>
      </c>
      <c r="P12" s="194">
        <f t="shared" si="1"/>
        <v>-6.49</v>
      </c>
      <c r="Q12" s="195">
        <f t="shared" si="2"/>
        <v>11300</v>
      </c>
      <c r="R12" s="196">
        <f t="shared" si="3"/>
        <v>-733.37</v>
      </c>
      <c r="S12" s="179"/>
      <c r="T12" s="179"/>
      <c r="U12" s="179"/>
      <c r="V12" s="179"/>
      <c r="W12" s="180"/>
      <c r="X12" s="178"/>
      <c r="Y12" s="42"/>
      <c r="Z12" s="42"/>
      <c r="AA12" s="42"/>
      <c r="AB12" s="42"/>
      <c r="AC12" s="42"/>
    </row>
    <row r="13" spans="1:29" ht="15.75" x14ac:dyDescent="0.25">
      <c r="A13" s="188"/>
      <c r="B13" s="188"/>
      <c r="C13" s="188"/>
      <c r="D13" s="254" t="s">
        <v>768</v>
      </c>
      <c r="E13" s="254">
        <v>1995</v>
      </c>
      <c r="F13" s="255">
        <v>14500</v>
      </c>
      <c r="G13" s="256">
        <v>11.5</v>
      </c>
      <c r="H13" s="255">
        <v>85300</v>
      </c>
      <c r="I13" s="257">
        <v>7.7</v>
      </c>
      <c r="J13" s="258">
        <v>157000</v>
      </c>
      <c r="K13" s="257">
        <v>6.5</v>
      </c>
      <c r="L13" s="258">
        <v>643000</v>
      </c>
      <c r="M13" s="257">
        <v>5.5</v>
      </c>
      <c r="N13" s="259">
        <f t="shared" si="0"/>
        <v>127525</v>
      </c>
      <c r="O13" s="260">
        <f t="shared" si="0"/>
        <v>7.35</v>
      </c>
      <c r="P13" s="194">
        <f t="shared" si="1"/>
        <v>-4.1500000000000004</v>
      </c>
      <c r="Q13" s="195">
        <f t="shared" si="2"/>
        <v>14500</v>
      </c>
      <c r="R13" s="196">
        <f t="shared" si="3"/>
        <v>-601.75000000000011</v>
      </c>
      <c r="S13" s="179"/>
      <c r="T13" s="179"/>
      <c r="U13" s="179"/>
      <c r="V13" s="179"/>
      <c r="W13" s="180"/>
      <c r="X13" s="178"/>
      <c r="Y13" s="42"/>
      <c r="Z13" s="42"/>
      <c r="AA13" s="42"/>
      <c r="AB13" s="42"/>
      <c r="AC13" s="42"/>
    </row>
    <row r="14" spans="1:29" ht="15.75" x14ac:dyDescent="0.25">
      <c r="A14" s="188"/>
      <c r="B14" s="188"/>
      <c r="C14" s="188"/>
      <c r="D14" s="254" t="s">
        <v>3139</v>
      </c>
      <c r="E14" s="254">
        <v>1995</v>
      </c>
      <c r="F14" s="255">
        <v>8900</v>
      </c>
      <c r="G14" s="256">
        <v>15</v>
      </c>
      <c r="H14" s="255">
        <v>79700</v>
      </c>
      <c r="I14" s="257">
        <v>8.9</v>
      </c>
      <c r="J14" s="258">
        <v>135000</v>
      </c>
      <c r="K14" s="257">
        <v>7.5</v>
      </c>
      <c r="L14" s="258">
        <v>462000</v>
      </c>
      <c r="M14" s="257">
        <v>6.7</v>
      </c>
      <c r="N14" s="259">
        <f t="shared" si="0"/>
        <v>109875</v>
      </c>
      <c r="O14" s="260">
        <f t="shared" si="0"/>
        <v>8.51</v>
      </c>
      <c r="P14" s="194">
        <f t="shared" si="1"/>
        <v>-6.49</v>
      </c>
      <c r="Q14" s="195">
        <f t="shared" si="2"/>
        <v>8900</v>
      </c>
      <c r="R14" s="196">
        <f t="shared" si="3"/>
        <v>-577.61</v>
      </c>
      <c r="S14" s="179"/>
      <c r="T14" s="179"/>
      <c r="U14" s="179"/>
      <c r="V14" s="179"/>
      <c r="W14" s="180"/>
      <c r="X14" s="178"/>
      <c r="Y14" s="42"/>
      <c r="Z14" s="42"/>
      <c r="AA14" s="42"/>
      <c r="AB14" s="42"/>
      <c r="AC14" s="42"/>
    </row>
    <row r="15" spans="1:29" ht="15.75" x14ac:dyDescent="0.25">
      <c r="A15" s="188"/>
      <c r="B15" s="188"/>
      <c r="C15" s="188"/>
      <c r="D15" s="254" t="s">
        <v>786</v>
      </c>
      <c r="E15" s="254">
        <v>1995</v>
      </c>
      <c r="F15" s="255">
        <v>10900</v>
      </c>
      <c r="G15" s="256">
        <v>13.8</v>
      </c>
      <c r="H15" s="255">
        <v>89500</v>
      </c>
      <c r="I15" s="257">
        <v>6.1</v>
      </c>
      <c r="J15" s="258">
        <v>173000</v>
      </c>
      <c r="K15" s="257">
        <v>4.9000000000000004</v>
      </c>
      <c r="L15" s="258">
        <v>743000</v>
      </c>
      <c r="M15" s="257">
        <v>4</v>
      </c>
      <c r="N15" s="259">
        <f t="shared" si="0"/>
        <v>138875</v>
      </c>
      <c r="O15" s="260">
        <f t="shared" si="0"/>
        <v>5.7549999999999999</v>
      </c>
      <c r="P15" s="194">
        <f t="shared" si="1"/>
        <v>-8.0450000000000017</v>
      </c>
      <c r="Q15" s="195">
        <f t="shared" si="2"/>
        <v>10900</v>
      </c>
      <c r="R15" s="196">
        <f t="shared" si="3"/>
        <v>-876.9050000000002</v>
      </c>
      <c r="S15" s="179"/>
      <c r="T15" s="179"/>
      <c r="U15" s="179"/>
      <c r="V15" s="179"/>
      <c r="W15" s="180"/>
      <c r="X15" s="178"/>
      <c r="Y15" s="42"/>
      <c r="Z15" s="42"/>
      <c r="AA15" s="42"/>
      <c r="AB15" s="42"/>
      <c r="AC15" s="42"/>
    </row>
    <row r="16" spans="1:29" ht="15.75" x14ac:dyDescent="0.25">
      <c r="A16" s="188"/>
      <c r="B16" s="188"/>
      <c r="C16" s="188"/>
      <c r="D16" s="254" t="s">
        <v>3140</v>
      </c>
      <c r="E16" s="254">
        <v>1995</v>
      </c>
      <c r="F16" s="261"/>
      <c r="G16" s="262">
        <f>MEDIAN(G9:G15)</f>
        <v>12</v>
      </c>
      <c r="H16" s="261"/>
      <c r="I16" s="263">
        <f>MEDIAN(I9:I15)</f>
        <v>7.7</v>
      </c>
      <c r="J16" s="264"/>
      <c r="K16" s="263">
        <f>MEDIAN(K9:K15)</f>
        <v>6.5</v>
      </c>
      <c r="L16" s="264"/>
      <c r="M16" s="263">
        <f>MEDIAN(M9:M15)</f>
        <v>5.5</v>
      </c>
      <c r="N16" s="264"/>
      <c r="O16" s="262">
        <f>MEDIAN(O9:O15)</f>
        <v>7.35</v>
      </c>
      <c r="P16" s="194">
        <f>MEDIAN(P9:P15)</f>
        <v>-4.2800000000000011</v>
      </c>
      <c r="Q16" s="195">
        <f>MEDIAN(Q9:Q15)</f>
        <v>11300</v>
      </c>
      <c r="R16" s="196">
        <f>MEDIAN(R9:R15)</f>
        <v>-601.75000000000011</v>
      </c>
      <c r="S16" s="181"/>
      <c r="T16" s="181"/>
      <c r="U16" s="179"/>
      <c r="V16" s="179"/>
      <c r="W16" s="180"/>
      <c r="X16" s="178"/>
      <c r="Y16" s="42"/>
      <c r="Z16" s="42"/>
      <c r="AA16" s="42"/>
      <c r="AB16" s="42"/>
      <c r="AC16" s="42"/>
    </row>
    <row r="17" spans="1:29" s="147" customFormat="1" ht="15.75" x14ac:dyDescent="0.25">
      <c r="A17" s="188"/>
      <c r="B17" s="188"/>
      <c r="C17" s="188"/>
      <c r="D17" s="254"/>
      <c r="E17" s="254"/>
      <c r="F17" s="261"/>
      <c r="G17" s="262"/>
      <c r="H17" s="261"/>
      <c r="I17" s="263"/>
      <c r="J17" s="264"/>
      <c r="K17" s="263"/>
      <c r="L17" s="264"/>
      <c r="M17" s="263"/>
      <c r="N17" s="264"/>
      <c r="O17" s="262"/>
      <c r="P17" s="194"/>
      <c r="Q17" s="195"/>
      <c r="R17" s="196"/>
      <c r="S17" s="181"/>
      <c r="T17" s="181"/>
      <c r="U17" s="179"/>
      <c r="V17" s="179"/>
      <c r="W17" s="180"/>
      <c r="X17" s="178"/>
      <c r="Y17" s="42"/>
      <c r="Z17" s="42"/>
      <c r="AA17" s="42"/>
      <c r="AB17" s="42"/>
      <c r="AC17" s="42"/>
    </row>
    <row r="18" spans="1:29" ht="15.75" x14ac:dyDescent="0.25">
      <c r="A18" s="188"/>
      <c r="B18" s="188"/>
      <c r="C18" s="188"/>
      <c r="D18" s="254" t="s">
        <v>3099</v>
      </c>
      <c r="E18" s="254">
        <v>2002</v>
      </c>
      <c r="F18" s="255">
        <v>7400</v>
      </c>
      <c r="G18" s="256">
        <v>12</v>
      </c>
      <c r="H18" s="255">
        <v>78100</v>
      </c>
      <c r="I18" s="257">
        <v>8.8000000000000007</v>
      </c>
      <c r="J18" s="258">
        <v>148500</v>
      </c>
      <c r="K18" s="257">
        <v>7.1</v>
      </c>
      <c r="L18" s="258">
        <v>518700</v>
      </c>
      <c r="M18" s="257">
        <v>5.7</v>
      </c>
      <c r="N18" s="259">
        <f t="shared" ref="N18:O25" si="4">(0.15*H18+0.04*J18+0.01*L18)/0.2</f>
        <v>114210</v>
      </c>
      <c r="O18" s="260">
        <f t="shared" si="4"/>
        <v>8.3049999999999997</v>
      </c>
      <c r="P18" s="194">
        <f t="shared" si="1"/>
        <v>-3.6950000000000003</v>
      </c>
      <c r="Q18" s="195">
        <f t="shared" si="2"/>
        <v>7400</v>
      </c>
      <c r="R18" s="196">
        <f t="shared" si="3"/>
        <v>-273.43000000000006</v>
      </c>
      <c r="S18" s="179"/>
      <c r="T18" s="179"/>
      <c r="U18" s="179"/>
      <c r="V18" s="179"/>
      <c r="W18" s="180"/>
      <c r="X18" s="178"/>
      <c r="Y18" s="42"/>
      <c r="Z18" s="42"/>
      <c r="AA18" s="42"/>
      <c r="AB18" s="42"/>
      <c r="AC18" s="42"/>
    </row>
    <row r="19" spans="1:29" ht="15.75" x14ac:dyDescent="0.25">
      <c r="A19" s="188"/>
      <c r="B19" s="188"/>
      <c r="C19" s="188"/>
      <c r="D19" s="254" t="s">
        <v>745</v>
      </c>
      <c r="E19" s="254">
        <v>2002</v>
      </c>
      <c r="F19" s="255">
        <v>7000</v>
      </c>
      <c r="G19" s="256">
        <v>10.7</v>
      </c>
      <c r="H19" s="255">
        <v>71700</v>
      </c>
      <c r="I19" s="257">
        <v>8.6999999999999993</v>
      </c>
      <c r="J19" s="258">
        <v>137900</v>
      </c>
      <c r="K19" s="257">
        <v>7.3</v>
      </c>
      <c r="L19" s="258">
        <v>498100</v>
      </c>
      <c r="M19" s="257">
        <v>5.8</v>
      </c>
      <c r="N19" s="259">
        <f t="shared" si="4"/>
        <v>106260</v>
      </c>
      <c r="O19" s="260">
        <f t="shared" si="4"/>
        <v>8.2750000000000004</v>
      </c>
      <c r="P19" s="194">
        <f t="shared" si="1"/>
        <v>-2.4249999999999989</v>
      </c>
      <c r="Q19" s="195">
        <f t="shared" si="2"/>
        <v>7000</v>
      </c>
      <c r="R19" s="196">
        <f t="shared" si="3"/>
        <v>-169.74999999999991</v>
      </c>
      <c r="S19" s="179"/>
      <c r="T19" s="179"/>
      <c r="U19" s="179"/>
      <c r="V19" s="179"/>
      <c r="W19" s="180"/>
      <c r="X19" s="178"/>
      <c r="Y19" s="42"/>
      <c r="Z19" s="42"/>
      <c r="AA19" s="42"/>
      <c r="AB19" s="42"/>
      <c r="AC19" s="42"/>
    </row>
    <row r="20" spans="1:29" ht="15.75" x14ac:dyDescent="0.25">
      <c r="A20" s="188"/>
      <c r="B20" s="188"/>
      <c r="C20" s="188"/>
      <c r="D20" s="254" t="s">
        <v>748</v>
      </c>
      <c r="E20" s="254">
        <v>2002</v>
      </c>
      <c r="F20" s="255">
        <v>9800</v>
      </c>
      <c r="G20" s="256">
        <v>9.9</v>
      </c>
      <c r="H20" s="255">
        <v>105600</v>
      </c>
      <c r="I20" s="257">
        <v>6.8</v>
      </c>
      <c r="J20" s="258">
        <v>226900</v>
      </c>
      <c r="K20" s="257">
        <v>5.3</v>
      </c>
      <c r="L20" s="258">
        <v>1185300</v>
      </c>
      <c r="M20" s="257">
        <v>4.4000000000000004</v>
      </c>
      <c r="N20" s="259">
        <f t="shared" si="4"/>
        <v>183845</v>
      </c>
      <c r="O20" s="260">
        <f t="shared" si="4"/>
        <v>6.38</v>
      </c>
      <c r="P20" s="194">
        <f t="shared" si="1"/>
        <v>-3.5200000000000005</v>
      </c>
      <c r="Q20" s="195">
        <f t="shared" si="2"/>
        <v>9800</v>
      </c>
      <c r="R20" s="196">
        <f t="shared" si="3"/>
        <v>-344.96000000000009</v>
      </c>
      <c r="S20" s="179"/>
      <c r="T20" s="179"/>
      <c r="U20" s="179"/>
      <c r="V20" s="179"/>
      <c r="W20" s="180"/>
      <c r="X20" s="178"/>
      <c r="Y20" s="42"/>
      <c r="Z20" s="42"/>
      <c r="AA20" s="42"/>
      <c r="AB20" s="42"/>
      <c r="AC20" s="42"/>
    </row>
    <row r="21" spans="1:29" ht="15.75" x14ac:dyDescent="0.25">
      <c r="A21" s="188"/>
      <c r="B21" s="188"/>
      <c r="C21" s="188"/>
      <c r="D21" s="254" t="s">
        <v>759</v>
      </c>
      <c r="E21" s="254">
        <v>2002</v>
      </c>
      <c r="F21" s="255">
        <v>8600</v>
      </c>
      <c r="G21" s="256">
        <v>11.5</v>
      </c>
      <c r="H21" s="255">
        <v>89300</v>
      </c>
      <c r="I21" s="257">
        <v>8.6999999999999993</v>
      </c>
      <c r="J21" s="258">
        <v>174700</v>
      </c>
      <c r="K21" s="257">
        <v>7.2</v>
      </c>
      <c r="L21" s="258">
        <v>780500</v>
      </c>
      <c r="M21" s="257">
        <v>5.7</v>
      </c>
      <c r="N21" s="259">
        <f t="shared" si="4"/>
        <v>140940</v>
      </c>
      <c r="O21" s="260">
        <f t="shared" si="4"/>
        <v>8.2499999999999982</v>
      </c>
      <c r="P21" s="194">
        <f t="shared" si="1"/>
        <v>-3.2500000000000018</v>
      </c>
      <c r="Q21" s="195">
        <f t="shared" si="2"/>
        <v>8600</v>
      </c>
      <c r="R21" s="196">
        <f t="shared" si="3"/>
        <v>-279.50000000000017</v>
      </c>
      <c r="S21" s="179"/>
      <c r="T21" s="179"/>
      <c r="U21" s="179"/>
      <c r="V21" s="179"/>
      <c r="W21" s="180"/>
      <c r="X21" s="178"/>
      <c r="Y21" s="42"/>
      <c r="Z21" s="42"/>
      <c r="AA21" s="42"/>
      <c r="AB21" s="42"/>
      <c r="AC21" s="42"/>
    </row>
    <row r="22" spans="1:29" ht="15.75" x14ac:dyDescent="0.25">
      <c r="A22" s="188"/>
      <c r="B22" s="188"/>
      <c r="C22" s="188"/>
      <c r="D22" s="254" t="s">
        <v>3138</v>
      </c>
      <c r="E22" s="254">
        <v>2002</v>
      </c>
      <c r="F22" s="255">
        <v>7000</v>
      </c>
      <c r="G22" s="256">
        <v>11.5</v>
      </c>
      <c r="H22" s="255">
        <v>76200</v>
      </c>
      <c r="I22" s="257">
        <v>7.1</v>
      </c>
      <c r="J22" s="258">
        <v>146400</v>
      </c>
      <c r="K22" s="257">
        <v>5.8</v>
      </c>
      <c r="L22" s="258">
        <v>528200</v>
      </c>
      <c r="M22" s="257">
        <v>4.9000000000000004</v>
      </c>
      <c r="N22" s="259">
        <f t="shared" si="4"/>
        <v>112840</v>
      </c>
      <c r="O22" s="260">
        <f t="shared" si="4"/>
        <v>6.7299999999999986</v>
      </c>
      <c r="P22" s="194">
        <f t="shared" si="1"/>
        <v>-4.7700000000000014</v>
      </c>
      <c r="Q22" s="195">
        <f t="shared" si="2"/>
        <v>7000</v>
      </c>
      <c r="R22" s="196">
        <f t="shared" si="3"/>
        <v>-333.90000000000009</v>
      </c>
      <c r="S22" s="179"/>
      <c r="T22" s="179"/>
      <c r="U22" s="179"/>
      <c r="V22" s="179"/>
      <c r="W22" s="180"/>
      <c r="X22" s="178"/>
      <c r="Y22" s="42"/>
      <c r="Z22" s="42"/>
      <c r="AA22" s="42"/>
      <c r="AB22" s="42"/>
      <c r="AC22" s="42"/>
    </row>
    <row r="23" spans="1:29" ht="15.75" x14ac:dyDescent="0.25">
      <c r="A23" s="188"/>
      <c r="B23" s="188"/>
      <c r="C23" s="188"/>
      <c r="D23" s="254" t="s">
        <v>768</v>
      </c>
      <c r="E23" s="254">
        <v>2002</v>
      </c>
      <c r="F23" s="255">
        <v>8900</v>
      </c>
      <c r="G23" s="256">
        <v>9.9</v>
      </c>
      <c r="H23" s="255">
        <v>86500</v>
      </c>
      <c r="I23" s="257">
        <v>7.8</v>
      </c>
      <c r="J23" s="258">
        <v>167100</v>
      </c>
      <c r="K23" s="257">
        <v>6.9</v>
      </c>
      <c r="L23" s="258">
        <v>689200</v>
      </c>
      <c r="M23" s="257">
        <v>5.3</v>
      </c>
      <c r="N23" s="259">
        <f t="shared" si="4"/>
        <v>132755</v>
      </c>
      <c r="O23" s="260">
        <f t="shared" si="4"/>
        <v>7.4949999999999992</v>
      </c>
      <c r="P23" s="194">
        <f t="shared" si="1"/>
        <v>-2.4050000000000011</v>
      </c>
      <c r="Q23" s="195">
        <f t="shared" si="2"/>
        <v>8900</v>
      </c>
      <c r="R23" s="196">
        <f t="shared" si="3"/>
        <v>-214.0450000000001</v>
      </c>
      <c r="S23" s="179"/>
      <c r="T23" s="179"/>
      <c r="U23" s="179"/>
      <c r="V23" s="179"/>
      <c r="W23" s="180"/>
      <c r="X23" s="178"/>
      <c r="Y23" s="42"/>
      <c r="Z23" s="42"/>
      <c r="AA23" s="42"/>
      <c r="AB23" s="42"/>
      <c r="AC23" s="42"/>
    </row>
    <row r="24" spans="1:29" ht="15.75" x14ac:dyDescent="0.25">
      <c r="A24" s="188"/>
      <c r="B24" s="188"/>
      <c r="C24" s="188"/>
      <c r="D24" s="254" t="s">
        <v>3139</v>
      </c>
      <c r="E24" s="254">
        <v>2002</v>
      </c>
      <c r="F24" s="255">
        <v>7800</v>
      </c>
      <c r="G24" s="256">
        <v>12.1</v>
      </c>
      <c r="H24" s="255">
        <v>79100</v>
      </c>
      <c r="I24" s="257">
        <v>8.5</v>
      </c>
      <c r="J24" s="258">
        <v>148600</v>
      </c>
      <c r="K24" s="257">
        <v>7.3</v>
      </c>
      <c r="L24" s="258">
        <v>610900</v>
      </c>
      <c r="M24" s="257">
        <v>6.3</v>
      </c>
      <c r="N24" s="259">
        <f t="shared" si="4"/>
        <v>119590</v>
      </c>
      <c r="O24" s="260">
        <f t="shared" si="4"/>
        <v>8.1499999999999986</v>
      </c>
      <c r="P24" s="194">
        <f t="shared" si="1"/>
        <v>-3.9500000000000011</v>
      </c>
      <c r="Q24" s="195">
        <f t="shared" si="2"/>
        <v>7800</v>
      </c>
      <c r="R24" s="196">
        <f t="shared" si="3"/>
        <v>-308.10000000000008</v>
      </c>
      <c r="S24" s="179"/>
      <c r="T24" s="179"/>
      <c r="U24" s="179"/>
      <c r="V24" s="179"/>
      <c r="W24" s="180"/>
      <c r="X24" s="178"/>
      <c r="Y24" s="42"/>
      <c r="Z24" s="42"/>
      <c r="AA24" s="42"/>
      <c r="AB24" s="42"/>
      <c r="AC24" s="42"/>
    </row>
    <row r="25" spans="1:29" ht="15.75" x14ac:dyDescent="0.25">
      <c r="A25" s="188"/>
      <c r="B25" s="188"/>
      <c r="C25" s="188"/>
      <c r="D25" s="254" t="s">
        <v>786</v>
      </c>
      <c r="E25" s="254">
        <v>2002</v>
      </c>
      <c r="F25" s="255">
        <v>9300</v>
      </c>
      <c r="G25" s="256">
        <v>11.4</v>
      </c>
      <c r="H25" s="255">
        <v>95300</v>
      </c>
      <c r="I25" s="257">
        <v>5.8</v>
      </c>
      <c r="J25" s="258">
        <v>202300</v>
      </c>
      <c r="K25" s="257">
        <v>4.5</v>
      </c>
      <c r="L25" s="258">
        <v>1080900</v>
      </c>
      <c r="M25" s="257">
        <v>3.2</v>
      </c>
      <c r="N25" s="259">
        <f t="shared" si="4"/>
        <v>165980</v>
      </c>
      <c r="O25" s="260">
        <f t="shared" si="4"/>
        <v>5.41</v>
      </c>
      <c r="P25" s="194">
        <f t="shared" si="1"/>
        <v>-5.99</v>
      </c>
      <c r="Q25" s="195">
        <f t="shared" si="2"/>
        <v>9300</v>
      </c>
      <c r="R25" s="196">
        <f t="shared" si="3"/>
        <v>-557.07000000000005</v>
      </c>
      <c r="S25" s="179"/>
      <c r="T25" s="179"/>
      <c r="U25" s="179"/>
      <c r="V25" s="179"/>
      <c r="W25" s="180"/>
      <c r="X25" s="178"/>
      <c r="Y25" s="42"/>
      <c r="Z25" s="42"/>
      <c r="AA25" s="42"/>
      <c r="AB25" s="42"/>
      <c r="AC25" s="42"/>
    </row>
    <row r="26" spans="1:29" ht="15.75" x14ac:dyDescent="0.25">
      <c r="A26" s="188"/>
      <c r="B26" s="188"/>
      <c r="C26" s="188"/>
      <c r="D26" s="254" t="s">
        <v>3140</v>
      </c>
      <c r="E26" s="254">
        <v>2002</v>
      </c>
      <c r="F26" s="261"/>
      <c r="G26" s="262">
        <f>MEDIAN(G19:G25)</f>
        <v>11.4</v>
      </c>
      <c r="H26" s="261"/>
      <c r="I26" s="263">
        <f>MEDIAN(I19:I25)</f>
        <v>7.8</v>
      </c>
      <c r="J26" s="264"/>
      <c r="K26" s="263">
        <f>MEDIAN(K19:K25)</f>
        <v>6.9</v>
      </c>
      <c r="L26" s="264"/>
      <c r="M26" s="263">
        <f>MEDIAN(M19:M25)</f>
        <v>5.3</v>
      </c>
      <c r="N26" s="264"/>
      <c r="O26" s="262">
        <f>MEDIAN(O19:O25)</f>
        <v>7.4949999999999992</v>
      </c>
      <c r="P26" s="194">
        <f t="shared" si="1"/>
        <v>-3.9050000000000011</v>
      </c>
      <c r="Q26" s="195">
        <f t="shared" si="2"/>
        <v>0</v>
      </c>
      <c r="R26" s="196">
        <f>MEDIAN(R19:R25)</f>
        <v>-308.10000000000008</v>
      </c>
      <c r="S26" s="181"/>
      <c r="T26" s="181"/>
      <c r="U26" s="179"/>
      <c r="V26" s="179"/>
      <c r="W26" s="147"/>
      <c r="X26" s="147"/>
      <c r="Y26" s="42"/>
      <c r="Z26" s="42"/>
      <c r="AA26" s="42"/>
      <c r="AB26" s="42"/>
      <c r="AC26" s="42"/>
    </row>
    <row r="27" spans="1:29" ht="15.75" x14ac:dyDescent="0.25">
      <c r="A27" s="188"/>
      <c r="B27" s="188"/>
      <c r="C27" s="188"/>
      <c r="D27" s="254"/>
      <c r="E27" s="254"/>
      <c r="F27" s="255"/>
      <c r="G27" s="256"/>
      <c r="H27" s="255"/>
      <c r="I27" s="257"/>
      <c r="J27" s="258"/>
      <c r="K27" s="257"/>
      <c r="L27" s="258"/>
      <c r="M27" s="257"/>
      <c r="N27" s="259"/>
      <c r="O27" s="260"/>
      <c r="P27" s="194"/>
      <c r="Q27" s="195"/>
      <c r="R27" s="196"/>
      <c r="S27" s="179"/>
      <c r="T27" s="179"/>
      <c r="U27" s="179"/>
      <c r="V27" s="179"/>
      <c r="W27" s="180"/>
      <c r="X27" s="178"/>
      <c r="Y27" s="42"/>
      <c r="Z27" s="42"/>
      <c r="AA27" s="42"/>
      <c r="AB27" s="42"/>
      <c r="AC27" s="42"/>
    </row>
    <row r="28" spans="1:29" ht="15.75" x14ac:dyDescent="0.25">
      <c r="A28" s="188"/>
      <c r="B28" s="188"/>
      <c r="C28" s="188"/>
      <c r="D28" s="254" t="s">
        <v>3099</v>
      </c>
      <c r="E28" s="254">
        <v>2007</v>
      </c>
      <c r="F28" s="255">
        <v>8800</v>
      </c>
      <c r="G28" s="256">
        <v>9.9</v>
      </c>
      <c r="H28" s="255">
        <v>107600</v>
      </c>
      <c r="I28" s="257">
        <v>7.1</v>
      </c>
      <c r="J28" s="258">
        <v>230200</v>
      </c>
      <c r="K28" s="257">
        <v>5.4</v>
      </c>
      <c r="L28" s="258">
        <v>1370200</v>
      </c>
      <c r="M28" s="257">
        <v>4.8</v>
      </c>
      <c r="N28" s="259">
        <f t="shared" ref="N28:O35" si="5">(0.15*H28+0.04*J28+0.01*L28)/0.2</f>
        <v>195250</v>
      </c>
      <c r="O28" s="260">
        <f t="shared" si="5"/>
        <v>6.6449999999999996</v>
      </c>
      <c r="P28" s="194">
        <f t="shared" si="1"/>
        <v>-3.2550000000000008</v>
      </c>
      <c r="Q28" s="195">
        <f t="shared" si="2"/>
        <v>8800</v>
      </c>
      <c r="R28" s="196">
        <f t="shared" si="3"/>
        <v>-286.44000000000005</v>
      </c>
      <c r="S28" s="179"/>
      <c r="T28" s="179"/>
      <c r="U28" s="179"/>
      <c r="V28" s="179"/>
      <c r="W28" s="180"/>
      <c r="X28" s="178"/>
      <c r="Y28" s="42"/>
      <c r="Z28" s="42"/>
      <c r="AA28" s="42"/>
      <c r="AB28" s="42"/>
      <c r="AC28" s="42"/>
    </row>
    <row r="29" spans="1:29" ht="15.75" x14ac:dyDescent="0.25">
      <c r="A29" s="188"/>
      <c r="B29" s="188"/>
      <c r="C29" s="188"/>
      <c r="D29" s="254" t="s">
        <v>745</v>
      </c>
      <c r="E29" s="254">
        <v>2007</v>
      </c>
      <c r="F29" s="255">
        <v>8600</v>
      </c>
      <c r="G29" s="256">
        <v>12.1</v>
      </c>
      <c r="H29" s="255">
        <v>95000</v>
      </c>
      <c r="I29" s="257">
        <v>8.9</v>
      </c>
      <c r="J29" s="258">
        <v>203600</v>
      </c>
      <c r="K29" s="257">
        <v>7</v>
      </c>
      <c r="L29" s="258">
        <v>911500</v>
      </c>
      <c r="M29" s="257">
        <v>5.9</v>
      </c>
      <c r="N29" s="259">
        <f t="shared" si="5"/>
        <v>157545</v>
      </c>
      <c r="O29" s="260">
        <f t="shared" si="5"/>
        <v>8.3699999999999992</v>
      </c>
      <c r="P29" s="194">
        <f t="shared" si="1"/>
        <v>-3.7300000000000004</v>
      </c>
      <c r="Q29" s="195">
        <f t="shared" si="2"/>
        <v>8600</v>
      </c>
      <c r="R29" s="196">
        <f t="shared" si="3"/>
        <v>-320.78000000000003</v>
      </c>
      <c r="S29" s="179"/>
      <c r="T29" s="179"/>
      <c r="U29" s="179"/>
      <c r="V29" s="179"/>
      <c r="W29" s="180"/>
      <c r="X29" s="178"/>
      <c r="Y29" s="42"/>
      <c r="Z29" s="42"/>
      <c r="AA29" s="42"/>
      <c r="AB29" s="42"/>
      <c r="AC29" s="42"/>
    </row>
    <row r="30" spans="1:29" ht="15.75" x14ac:dyDescent="0.25">
      <c r="A30" s="188"/>
      <c r="B30" s="188"/>
      <c r="C30" s="188"/>
      <c r="D30" s="254" t="s">
        <v>748</v>
      </c>
      <c r="E30" s="254">
        <v>2007</v>
      </c>
      <c r="F30" s="255">
        <v>11400</v>
      </c>
      <c r="G30" s="256">
        <v>9</v>
      </c>
      <c r="H30" s="255">
        <v>134500</v>
      </c>
      <c r="I30" s="257">
        <v>6.3</v>
      </c>
      <c r="J30" s="258">
        <v>315000</v>
      </c>
      <c r="K30" s="257">
        <v>5.4</v>
      </c>
      <c r="L30" s="258">
        <v>1975800</v>
      </c>
      <c r="M30" s="257">
        <v>4.2</v>
      </c>
      <c r="N30" s="259">
        <f t="shared" si="5"/>
        <v>262665</v>
      </c>
      <c r="O30" s="260">
        <f t="shared" si="5"/>
        <v>6.0149999999999997</v>
      </c>
      <c r="P30" s="194">
        <f t="shared" si="1"/>
        <v>-2.9850000000000003</v>
      </c>
      <c r="Q30" s="195">
        <f t="shared" si="2"/>
        <v>11400</v>
      </c>
      <c r="R30" s="196">
        <f t="shared" si="3"/>
        <v>-340.29000000000008</v>
      </c>
      <c r="S30" s="179"/>
      <c r="T30" s="179"/>
      <c r="U30" s="179"/>
      <c r="V30" s="179"/>
      <c r="W30" s="180"/>
      <c r="X30" s="178"/>
      <c r="Y30" s="42"/>
      <c r="Z30" s="42"/>
      <c r="AA30" s="42"/>
      <c r="AB30" s="42"/>
      <c r="AC30" s="42"/>
    </row>
    <row r="31" spans="1:29" ht="15.75" x14ac:dyDescent="0.25">
      <c r="A31" s="188"/>
      <c r="B31" s="188"/>
      <c r="C31" s="188"/>
      <c r="D31" s="254" t="s">
        <v>759</v>
      </c>
      <c r="E31" s="254">
        <v>2007</v>
      </c>
      <c r="F31" s="255">
        <v>10100</v>
      </c>
      <c r="G31" s="256">
        <v>9.1999999999999993</v>
      </c>
      <c r="H31" s="255">
        <v>119000</v>
      </c>
      <c r="I31" s="257">
        <v>8</v>
      </c>
      <c r="J31" s="258">
        <v>247600</v>
      </c>
      <c r="K31" s="257">
        <v>7.1</v>
      </c>
      <c r="L31" s="258">
        <v>1236400</v>
      </c>
      <c r="M31" s="257">
        <v>5.9</v>
      </c>
      <c r="N31" s="259">
        <f t="shared" si="5"/>
        <v>200590</v>
      </c>
      <c r="O31" s="260">
        <f t="shared" si="5"/>
        <v>7.714999999999999</v>
      </c>
      <c r="P31" s="194">
        <f t="shared" si="1"/>
        <v>-1.4850000000000003</v>
      </c>
      <c r="Q31" s="195">
        <f t="shared" si="2"/>
        <v>10100</v>
      </c>
      <c r="R31" s="196">
        <f t="shared" si="3"/>
        <v>-149.98500000000004</v>
      </c>
      <c r="S31" s="179"/>
      <c r="T31" s="179"/>
      <c r="U31" s="179"/>
      <c r="V31" s="179"/>
      <c r="W31" s="180"/>
      <c r="X31" s="178"/>
      <c r="Y31" s="42"/>
      <c r="Z31" s="42"/>
      <c r="AA31" s="42"/>
      <c r="AB31" s="42"/>
      <c r="AC31" s="42"/>
    </row>
    <row r="32" spans="1:29" ht="15.75" x14ac:dyDescent="0.25">
      <c r="A32" s="188"/>
      <c r="B32" s="188"/>
      <c r="C32" s="188"/>
      <c r="D32" s="254" t="s">
        <v>3138</v>
      </c>
      <c r="E32" s="254">
        <v>2007</v>
      </c>
      <c r="F32" s="255">
        <v>9800</v>
      </c>
      <c r="G32" s="256">
        <v>10.4</v>
      </c>
      <c r="H32" s="255">
        <v>110600</v>
      </c>
      <c r="I32" s="257">
        <v>7.3</v>
      </c>
      <c r="J32" s="258">
        <v>228700</v>
      </c>
      <c r="K32" s="257">
        <v>5.6</v>
      </c>
      <c r="L32" s="258">
        <v>1027100</v>
      </c>
      <c r="M32" s="257">
        <v>5.2</v>
      </c>
      <c r="N32" s="259">
        <f t="shared" si="5"/>
        <v>180045</v>
      </c>
      <c r="O32" s="260">
        <f t="shared" si="5"/>
        <v>6.8549999999999995</v>
      </c>
      <c r="P32" s="194">
        <f t="shared" si="1"/>
        <v>-3.5450000000000008</v>
      </c>
      <c r="Q32" s="195">
        <f t="shared" si="2"/>
        <v>9800</v>
      </c>
      <c r="R32" s="196">
        <f t="shared" si="3"/>
        <v>-347.41000000000008</v>
      </c>
      <c r="S32" s="179"/>
      <c r="T32" s="179"/>
      <c r="U32" s="179"/>
      <c r="V32" s="179"/>
      <c r="W32" s="180"/>
      <c r="X32" s="178"/>
      <c r="Y32" s="42"/>
      <c r="Z32" s="42"/>
      <c r="AA32" s="42"/>
      <c r="AB32" s="42"/>
      <c r="AC32" s="42"/>
    </row>
    <row r="33" spans="1:29" ht="15.75" x14ac:dyDescent="0.25">
      <c r="A33" s="188"/>
      <c r="B33" s="188"/>
      <c r="C33" s="188"/>
      <c r="D33" s="254" t="s">
        <v>768</v>
      </c>
      <c r="E33" s="254">
        <v>2007</v>
      </c>
      <c r="F33" s="255">
        <v>10000</v>
      </c>
      <c r="G33" s="256">
        <v>9.6</v>
      </c>
      <c r="H33" s="255">
        <v>107300</v>
      </c>
      <c r="I33" s="257">
        <v>7.6</v>
      </c>
      <c r="J33" s="258">
        <v>226900</v>
      </c>
      <c r="K33" s="257">
        <v>6.7</v>
      </c>
      <c r="L33" s="258">
        <v>1170600</v>
      </c>
      <c r="M33" s="257">
        <v>5.4</v>
      </c>
      <c r="N33" s="259">
        <f t="shared" si="5"/>
        <v>184385</v>
      </c>
      <c r="O33" s="260">
        <f t="shared" si="5"/>
        <v>7.31</v>
      </c>
      <c r="P33" s="194">
        <f t="shared" si="1"/>
        <v>-2.29</v>
      </c>
      <c r="Q33" s="195">
        <f t="shared" si="2"/>
        <v>10000</v>
      </c>
      <c r="R33" s="196">
        <f t="shared" si="3"/>
        <v>-229</v>
      </c>
      <c r="S33" s="179"/>
      <c r="T33" s="179"/>
      <c r="U33" s="179"/>
      <c r="V33" s="179"/>
      <c r="W33" s="180"/>
      <c r="X33" s="178"/>
      <c r="Y33" s="42"/>
      <c r="Z33" s="42"/>
      <c r="AA33" s="42"/>
      <c r="AB33" s="42"/>
      <c r="AC33" s="42"/>
    </row>
    <row r="34" spans="1:29" ht="15.75" x14ac:dyDescent="0.25">
      <c r="A34" s="188"/>
      <c r="B34" s="188"/>
      <c r="C34" s="188"/>
      <c r="D34" s="254" t="s">
        <v>3139</v>
      </c>
      <c r="E34" s="254">
        <v>2007</v>
      </c>
      <c r="F34" s="255">
        <v>9900</v>
      </c>
      <c r="G34" s="256">
        <v>10.8</v>
      </c>
      <c r="H34" s="255">
        <v>103200</v>
      </c>
      <c r="I34" s="257">
        <v>7.6</v>
      </c>
      <c r="J34" s="258">
        <v>211900</v>
      </c>
      <c r="K34" s="257">
        <v>5.9</v>
      </c>
      <c r="L34" s="258">
        <v>1032100</v>
      </c>
      <c r="M34" s="257">
        <v>4.5</v>
      </c>
      <c r="N34" s="259">
        <f t="shared" si="5"/>
        <v>171385</v>
      </c>
      <c r="O34" s="260">
        <f t="shared" si="5"/>
        <v>7.1049999999999986</v>
      </c>
      <c r="P34" s="194">
        <f t="shared" si="1"/>
        <v>-3.6950000000000021</v>
      </c>
      <c r="Q34" s="195">
        <f t="shared" si="2"/>
        <v>9900</v>
      </c>
      <c r="R34" s="196">
        <f t="shared" si="3"/>
        <v>-365.80500000000023</v>
      </c>
      <c r="S34" s="179"/>
      <c r="T34" s="179"/>
      <c r="U34" s="179"/>
      <c r="V34" s="179"/>
      <c r="W34" s="180"/>
      <c r="X34" s="178"/>
      <c r="Y34" s="42"/>
      <c r="Z34" s="42"/>
      <c r="AA34" s="42"/>
      <c r="AB34" s="42"/>
      <c r="AC34" s="42"/>
    </row>
    <row r="35" spans="1:29" ht="15.75" x14ac:dyDescent="0.25">
      <c r="A35" s="188"/>
      <c r="B35" s="188"/>
      <c r="C35" s="188"/>
      <c r="D35" s="254" t="s">
        <v>786</v>
      </c>
      <c r="E35" s="254">
        <v>2007</v>
      </c>
      <c r="F35" s="255">
        <v>11200</v>
      </c>
      <c r="G35" s="256">
        <v>12.2</v>
      </c>
      <c r="H35" s="255">
        <v>122500</v>
      </c>
      <c r="I35" s="257">
        <v>5.8</v>
      </c>
      <c r="J35" s="258">
        <v>277600</v>
      </c>
      <c r="K35" s="257">
        <v>4.4000000000000004</v>
      </c>
      <c r="L35" s="258">
        <v>1753600</v>
      </c>
      <c r="M35" s="257">
        <v>3</v>
      </c>
      <c r="N35" s="259">
        <f t="shared" si="5"/>
        <v>235075</v>
      </c>
      <c r="O35" s="260">
        <f t="shared" si="5"/>
        <v>5.38</v>
      </c>
      <c r="P35" s="194">
        <f t="shared" si="1"/>
        <v>-6.8199999999999994</v>
      </c>
      <c r="Q35" s="195">
        <f t="shared" si="2"/>
        <v>11200</v>
      </c>
      <c r="R35" s="196">
        <f t="shared" si="3"/>
        <v>-763.84</v>
      </c>
      <c r="S35" s="179"/>
      <c r="T35" s="179"/>
      <c r="U35" s="179"/>
      <c r="V35" s="179"/>
      <c r="W35" s="180"/>
      <c r="X35" s="178"/>
      <c r="Y35" s="42"/>
      <c r="Z35" s="42"/>
      <c r="AA35" s="42"/>
      <c r="AB35" s="42"/>
      <c r="AC35" s="42"/>
    </row>
    <row r="36" spans="1:29" ht="15.75" x14ac:dyDescent="0.25">
      <c r="A36" s="188"/>
      <c r="B36" s="188"/>
      <c r="C36" s="188"/>
      <c r="D36" s="254" t="s">
        <v>3140</v>
      </c>
      <c r="E36" s="254">
        <v>2007</v>
      </c>
      <c r="F36" s="261"/>
      <c r="G36" s="262">
        <f>MEDIAN(G29:G35)</f>
        <v>10.4</v>
      </c>
      <c r="H36" s="261"/>
      <c r="I36" s="263">
        <f>MEDIAN(I29:I35)</f>
        <v>7.6</v>
      </c>
      <c r="J36" s="264"/>
      <c r="K36" s="263">
        <f>MEDIAN(K29:K35)</f>
        <v>5.9</v>
      </c>
      <c r="L36" s="264"/>
      <c r="M36" s="263">
        <f>MEDIAN(M29:M35)</f>
        <v>5.2</v>
      </c>
      <c r="N36" s="264"/>
      <c r="O36" s="262">
        <f>MEDIAN(O29:O35)</f>
        <v>7.1049999999999986</v>
      </c>
      <c r="P36" s="194">
        <f t="shared" si="1"/>
        <v>-3.2950000000000017</v>
      </c>
      <c r="Q36" s="195">
        <f t="shared" si="2"/>
        <v>0</v>
      </c>
      <c r="R36" s="196">
        <f>MEDIAN(R29:R35)</f>
        <v>-340.29000000000008</v>
      </c>
      <c r="S36" s="181"/>
      <c r="T36" s="181"/>
      <c r="U36" s="179"/>
      <c r="V36" s="179"/>
      <c r="W36" s="147"/>
      <c r="X36" s="147"/>
      <c r="Y36" s="42"/>
      <c r="Z36" s="42"/>
      <c r="AA36" s="42"/>
      <c r="AB36" s="42"/>
      <c r="AC36" s="42"/>
    </row>
    <row r="37" spans="1:29" ht="15.75" x14ac:dyDescent="0.25">
      <c r="A37" s="188"/>
      <c r="B37" s="188"/>
      <c r="C37" s="188"/>
      <c r="D37" s="254"/>
      <c r="E37" s="254"/>
      <c r="F37" s="255"/>
      <c r="G37" s="256"/>
      <c r="H37" s="255"/>
      <c r="I37" s="257"/>
      <c r="J37" s="258"/>
      <c r="K37" s="257"/>
      <c r="L37" s="258"/>
      <c r="M37" s="257"/>
      <c r="N37" s="259"/>
      <c r="O37" s="260"/>
      <c r="P37" s="194"/>
      <c r="Q37" s="195"/>
      <c r="R37" s="196"/>
      <c r="S37" s="179"/>
      <c r="T37" s="179"/>
      <c r="U37" s="179"/>
      <c r="V37" s="179"/>
      <c r="W37" s="180"/>
      <c r="X37" s="178"/>
      <c r="Y37" s="42"/>
      <c r="Z37" s="42"/>
      <c r="AA37" s="42"/>
      <c r="AB37" s="42"/>
      <c r="AC37" s="42"/>
    </row>
    <row r="38" spans="1:29" ht="15.75" x14ac:dyDescent="0.25">
      <c r="A38" s="188"/>
      <c r="B38" s="188"/>
      <c r="C38" s="188"/>
      <c r="D38" s="254" t="s">
        <v>3099</v>
      </c>
      <c r="E38" s="254">
        <v>2013</v>
      </c>
      <c r="F38" s="255">
        <v>9600</v>
      </c>
      <c r="G38" s="256">
        <v>10.3</v>
      </c>
      <c r="H38" s="255">
        <v>107100</v>
      </c>
      <c r="I38" s="257">
        <v>7.5</v>
      </c>
      <c r="J38" s="258">
        <v>215800</v>
      </c>
      <c r="K38" s="257">
        <v>5.8</v>
      </c>
      <c r="L38" s="258">
        <v>1060100</v>
      </c>
      <c r="M38" s="257">
        <v>4.5999999999999996</v>
      </c>
      <c r="N38" s="259">
        <f t="shared" ref="N38:O52" si="6">(0.15*H38+0.04*J38+0.01*L38)/0.2</f>
        <v>176490</v>
      </c>
      <c r="O38" s="260">
        <f t="shared" si="6"/>
        <v>7.0149999999999997</v>
      </c>
      <c r="P38" s="194">
        <f t="shared" si="1"/>
        <v>-3.285000000000001</v>
      </c>
      <c r="Q38" s="195">
        <f t="shared" si="2"/>
        <v>9600</v>
      </c>
      <c r="R38" s="196">
        <f t="shared" si="3"/>
        <v>-315.36000000000013</v>
      </c>
      <c r="S38" s="179"/>
      <c r="T38" s="179"/>
      <c r="U38" s="179"/>
      <c r="V38" s="179"/>
      <c r="W38" s="180"/>
      <c r="X38" s="178"/>
      <c r="Y38" s="42"/>
      <c r="Z38" s="42"/>
      <c r="AA38" s="42"/>
      <c r="AB38" s="42"/>
      <c r="AC38" s="42"/>
    </row>
    <row r="39" spans="1:29" ht="15.75" x14ac:dyDescent="0.25">
      <c r="A39" s="188"/>
      <c r="B39" s="188"/>
      <c r="C39" s="188"/>
      <c r="D39" s="254" t="s">
        <v>745</v>
      </c>
      <c r="E39" s="254">
        <v>2013</v>
      </c>
      <c r="F39" s="255">
        <v>8600</v>
      </c>
      <c r="G39" s="256">
        <v>11.9</v>
      </c>
      <c r="H39" s="255">
        <v>94400</v>
      </c>
      <c r="I39" s="257">
        <v>9.1</v>
      </c>
      <c r="J39" s="258">
        <v>193300</v>
      </c>
      <c r="K39" s="257">
        <v>7</v>
      </c>
      <c r="L39" s="258">
        <v>723300</v>
      </c>
      <c r="M39" s="257">
        <v>6</v>
      </c>
      <c r="N39" s="259">
        <f t="shared" si="6"/>
        <v>145625</v>
      </c>
      <c r="O39" s="260">
        <f t="shared" si="6"/>
        <v>8.5250000000000004</v>
      </c>
      <c r="P39" s="194">
        <f t="shared" si="1"/>
        <v>-3.375</v>
      </c>
      <c r="Q39" s="195">
        <f t="shared" si="2"/>
        <v>8600</v>
      </c>
      <c r="R39" s="196">
        <f t="shared" si="3"/>
        <v>-290.25</v>
      </c>
      <c r="S39" s="179"/>
      <c r="T39" s="179"/>
      <c r="U39" s="179"/>
      <c r="V39" s="179"/>
      <c r="W39" s="180"/>
      <c r="X39" s="178"/>
      <c r="Y39" s="42"/>
      <c r="Z39" s="42"/>
      <c r="AA39" s="42"/>
      <c r="AB39" s="42"/>
      <c r="AC39" s="42"/>
    </row>
    <row r="40" spans="1:29" ht="15.75" x14ac:dyDescent="0.25">
      <c r="A40" s="188"/>
      <c r="B40" s="188"/>
      <c r="C40" s="188"/>
      <c r="D40" s="254" t="s">
        <v>748</v>
      </c>
      <c r="E40" s="254">
        <v>2013</v>
      </c>
      <c r="F40" s="255">
        <v>11500</v>
      </c>
      <c r="G40" s="256">
        <v>8.9</v>
      </c>
      <c r="H40" s="255">
        <v>128600</v>
      </c>
      <c r="I40" s="257">
        <v>6.6</v>
      </c>
      <c r="J40" s="258">
        <v>272000</v>
      </c>
      <c r="K40" s="257">
        <v>5.8</v>
      </c>
      <c r="L40" s="258">
        <v>1345400</v>
      </c>
      <c r="M40" s="257">
        <v>4.5999999999999996</v>
      </c>
      <c r="N40" s="259">
        <f t="shared" si="6"/>
        <v>218120</v>
      </c>
      <c r="O40" s="260">
        <f t="shared" si="6"/>
        <v>6.34</v>
      </c>
      <c r="P40" s="194">
        <f t="shared" si="1"/>
        <v>-2.5600000000000005</v>
      </c>
      <c r="Q40" s="195">
        <f t="shared" si="2"/>
        <v>11500</v>
      </c>
      <c r="R40" s="196">
        <f t="shared" si="3"/>
        <v>-294.40000000000009</v>
      </c>
      <c r="S40" s="179"/>
      <c r="T40" s="179"/>
      <c r="U40" s="179"/>
      <c r="V40" s="179"/>
      <c r="W40" s="180"/>
      <c r="X40" s="178"/>
      <c r="Y40" s="42"/>
      <c r="Z40" s="42"/>
      <c r="AA40" s="42"/>
      <c r="AB40" s="42"/>
      <c r="AC40" s="42"/>
    </row>
    <row r="41" spans="1:29" ht="15.75" x14ac:dyDescent="0.25">
      <c r="A41" s="188"/>
      <c r="B41" s="188"/>
      <c r="C41" s="188"/>
      <c r="D41" s="254" t="s">
        <v>759</v>
      </c>
      <c r="E41" s="254">
        <v>2013</v>
      </c>
      <c r="F41" s="255">
        <v>10300</v>
      </c>
      <c r="G41" s="256">
        <v>10.3</v>
      </c>
      <c r="H41" s="255">
        <v>115100</v>
      </c>
      <c r="I41" s="257">
        <v>7.7</v>
      </c>
      <c r="J41" s="258">
        <v>1025300</v>
      </c>
      <c r="K41" s="257">
        <v>3.9</v>
      </c>
      <c r="L41" s="258">
        <v>1025300</v>
      </c>
      <c r="M41" s="257">
        <v>3.9</v>
      </c>
      <c r="N41" s="259">
        <f t="shared" si="6"/>
        <v>342650</v>
      </c>
      <c r="O41" s="260">
        <f t="shared" si="6"/>
        <v>6.7499999999999991</v>
      </c>
      <c r="P41" s="194">
        <f t="shared" si="1"/>
        <v>-3.5500000000000016</v>
      </c>
      <c r="Q41" s="195">
        <f t="shared" si="2"/>
        <v>10300</v>
      </c>
      <c r="R41" s="196">
        <f t="shared" si="3"/>
        <v>-365.65000000000015</v>
      </c>
      <c r="S41" s="179"/>
      <c r="T41" s="179"/>
      <c r="U41" s="179"/>
      <c r="V41" s="179"/>
      <c r="W41" s="180"/>
      <c r="X41" s="178"/>
      <c r="Y41" s="42"/>
      <c r="Z41" s="42"/>
      <c r="AA41" s="42"/>
      <c r="AB41" s="42"/>
      <c r="AC41" s="42"/>
    </row>
    <row r="42" spans="1:29" ht="15.75" x14ac:dyDescent="0.25">
      <c r="A42" s="188"/>
      <c r="B42" s="188"/>
      <c r="C42" s="188"/>
      <c r="D42" s="254" t="s">
        <v>3138</v>
      </c>
      <c r="E42" s="254">
        <v>2013</v>
      </c>
      <c r="F42" s="255">
        <v>10000</v>
      </c>
      <c r="G42" s="256">
        <v>10.6</v>
      </c>
      <c r="H42" s="255">
        <v>114600</v>
      </c>
      <c r="I42" s="257">
        <v>7.3</v>
      </c>
      <c r="J42" s="258">
        <v>232500</v>
      </c>
      <c r="K42" s="257">
        <v>5.7</v>
      </c>
      <c r="L42" s="258">
        <v>979700</v>
      </c>
      <c r="M42" s="257">
        <v>4.5999999999999996</v>
      </c>
      <c r="N42" s="259">
        <f t="shared" si="6"/>
        <v>181435</v>
      </c>
      <c r="O42" s="260">
        <f t="shared" si="6"/>
        <v>6.8449999999999998</v>
      </c>
      <c r="P42" s="194">
        <f t="shared" si="1"/>
        <v>-3.7549999999999999</v>
      </c>
      <c r="Q42" s="195">
        <f t="shared" si="2"/>
        <v>10000</v>
      </c>
      <c r="R42" s="196">
        <f t="shared" si="3"/>
        <v>-375.5</v>
      </c>
      <c r="S42" s="179"/>
      <c r="T42" s="179"/>
      <c r="U42" s="179"/>
      <c r="V42" s="179"/>
      <c r="W42" s="180"/>
      <c r="X42" s="178"/>
      <c r="Y42" s="42"/>
      <c r="Z42" s="42"/>
      <c r="AA42" s="42"/>
      <c r="AB42" s="42"/>
      <c r="AC42" s="42"/>
    </row>
    <row r="43" spans="1:29" ht="15.75" x14ac:dyDescent="0.25">
      <c r="A43" s="188"/>
      <c r="B43" s="188"/>
      <c r="C43" s="188"/>
      <c r="D43" s="254" t="s">
        <v>768</v>
      </c>
      <c r="E43" s="254">
        <v>2013</v>
      </c>
      <c r="F43" s="255">
        <v>10100</v>
      </c>
      <c r="G43" s="256">
        <v>9.6</v>
      </c>
      <c r="H43" s="255">
        <v>103600</v>
      </c>
      <c r="I43" s="257">
        <v>7.6</v>
      </c>
      <c r="J43" s="258">
        <v>210100</v>
      </c>
      <c r="K43" s="257">
        <v>6.8</v>
      </c>
      <c r="L43" s="258">
        <v>941100</v>
      </c>
      <c r="M43" s="257">
        <v>5.4</v>
      </c>
      <c r="N43" s="259">
        <f t="shared" si="6"/>
        <v>166775</v>
      </c>
      <c r="O43" s="260">
        <f t="shared" si="6"/>
        <v>7.3299999999999992</v>
      </c>
      <c r="P43" s="194">
        <f t="shared" si="1"/>
        <v>-2.2700000000000005</v>
      </c>
      <c r="Q43" s="195">
        <f t="shared" si="2"/>
        <v>10100</v>
      </c>
      <c r="R43" s="196">
        <f t="shared" si="3"/>
        <v>-229.27000000000004</v>
      </c>
      <c r="S43" s="179"/>
      <c r="T43" s="179"/>
      <c r="U43" s="179"/>
      <c r="V43" s="179"/>
      <c r="W43" s="180"/>
      <c r="X43" s="178"/>
      <c r="Y43" s="42"/>
      <c r="Z43" s="42"/>
      <c r="AA43" s="42"/>
      <c r="AB43" s="42"/>
      <c r="AC43" s="42"/>
    </row>
    <row r="44" spans="1:29" ht="15.75" x14ac:dyDescent="0.25">
      <c r="A44" s="188"/>
      <c r="B44" s="188"/>
      <c r="C44" s="188"/>
      <c r="D44" s="254" t="s">
        <v>3139</v>
      </c>
      <c r="E44" s="254">
        <v>2013</v>
      </c>
      <c r="F44" s="255">
        <v>10200</v>
      </c>
      <c r="G44" s="256">
        <v>10.6</v>
      </c>
      <c r="H44" s="255">
        <v>102500</v>
      </c>
      <c r="I44" s="257">
        <v>7.9</v>
      </c>
      <c r="J44" s="258">
        <v>197000</v>
      </c>
      <c r="K44" s="257">
        <v>6.4</v>
      </c>
      <c r="L44" s="258">
        <v>732400</v>
      </c>
      <c r="M44" s="257">
        <v>4.8</v>
      </c>
      <c r="N44" s="259">
        <f t="shared" si="6"/>
        <v>152895</v>
      </c>
      <c r="O44" s="260">
        <f t="shared" si="6"/>
        <v>7.4450000000000003</v>
      </c>
      <c r="P44" s="194">
        <f t="shared" si="1"/>
        <v>-3.1549999999999994</v>
      </c>
      <c r="Q44" s="195">
        <f t="shared" si="2"/>
        <v>10200</v>
      </c>
      <c r="R44" s="196">
        <f t="shared" si="3"/>
        <v>-321.80999999999995</v>
      </c>
      <c r="S44" s="179"/>
      <c r="T44" s="179"/>
      <c r="U44" s="179"/>
      <c r="V44" s="179"/>
      <c r="W44" s="180"/>
      <c r="X44" s="178"/>
      <c r="Y44" s="42"/>
      <c r="Z44" s="42"/>
      <c r="AA44" s="42"/>
      <c r="AB44" s="42"/>
      <c r="AC44" s="42"/>
    </row>
    <row r="45" spans="1:29" ht="15.75" x14ac:dyDescent="0.25">
      <c r="A45" s="188"/>
      <c r="B45" s="188"/>
      <c r="C45" s="188"/>
      <c r="D45" s="254" t="s">
        <v>786</v>
      </c>
      <c r="E45" s="254">
        <v>2013</v>
      </c>
      <c r="F45" s="255">
        <v>11400</v>
      </c>
      <c r="G45" s="256">
        <v>12.6</v>
      </c>
      <c r="H45" s="255">
        <v>121700</v>
      </c>
      <c r="I45" s="257">
        <v>6.1</v>
      </c>
      <c r="J45" s="258">
        <v>265000</v>
      </c>
      <c r="K45" s="257">
        <v>4.8</v>
      </c>
      <c r="L45" s="258">
        <v>1365600</v>
      </c>
      <c r="M45" s="257">
        <v>3.2</v>
      </c>
      <c r="N45" s="259">
        <f t="shared" si="6"/>
        <v>212555</v>
      </c>
      <c r="O45" s="260">
        <f t="shared" si="6"/>
        <v>5.6949999999999994</v>
      </c>
      <c r="P45" s="194">
        <f t="shared" si="1"/>
        <v>-6.9050000000000002</v>
      </c>
      <c r="Q45" s="195">
        <f t="shared" si="2"/>
        <v>11400</v>
      </c>
      <c r="R45" s="196">
        <f t="shared" si="3"/>
        <v>-787.17</v>
      </c>
      <c r="S45" s="179"/>
      <c r="T45" s="179"/>
      <c r="U45" s="179"/>
      <c r="V45" s="179"/>
      <c r="W45" s="180"/>
      <c r="X45" s="178"/>
      <c r="Y45" s="42"/>
      <c r="Z45" s="42"/>
      <c r="AA45" s="42"/>
      <c r="AB45" s="42"/>
      <c r="AC45" s="42"/>
    </row>
    <row r="46" spans="1:29" ht="15.75" x14ac:dyDescent="0.25">
      <c r="A46" s="188"/>
      <c r="B46" s="188"/>
      <c r="C46" s="188"/>
      <c r="D46" s="254" t="s">
        <v>3140</v>
      </c>
      <c r="E46" s="254">
        <v>2013</v>
      </c>
      <c r="F46" s="265">
        <f t="shared" ref="F46:M46" si="7">MEDIAN(F39:F45)</f>
        <v>10200</v>
      </c>
      <c r="G46" s="262">
        <f t="shared" si="7"/>
        <v>10.6</v>
      </c>
      <c r="H46" s="265">
        <f t="shared" si="7"/>
        <v>114600</v>
      </c>
      <c r="I46" s="263">
        <f t="shared" si="7"/>
        <v>7.6</v>
      </c>
      <c r="J46" s="259">
        <f t="shared" si="7"/>
        <v>232500</v>
      </c>
      <c r="K46" s="263">
        <f t="shared" si="7"/>
        <v>5.8</v>
      </c>
      <c r="L46" s="259">
        <f t="shared" si="7"/>
        <v>979700</v>
      </c>
      <c r="M46" s="263">
        <f t="shared" si="7"/>
        <v>4.5999999999999996</v>
      </c>
      <c r="N46" s="259">
        <f t="shared" si="6"/>
        <v>181435</v>
      </c>
      <c r="O46" s="262">
        <f>MEDIAN(O39:O45)</f>
        <v>6.8449999999999998</v>
      </c>
      <c r="P46" s="194">
        <f t="shared" si="1"/>
        <v>-3.7549999999999999</v>
      </c>
      <c r="Q46" s="195">
        <f t="shared" si="2"/>
        <v>10200</v>
      </c>
      <c r="R46" s="196">
        <f>MEDIAN(R39:R45)</f>
        <v>-321.80999999999995</v>
      </c>
      <c r="S46" s="181"/>
      <c r="T46" s="181"/>
      <c r="U46" s="181"/>
      <c r="V46" s="181"/>
      <c r="W46" s="147"/>
      <c r="X46" s="147"/>
      <c r="Y46" s="42"/>
      <c r="Z46" s="42"/>
      <c r="AA46" s="42"/>
      <c r="AB46" s="42"/>
      <c r="AC46" s="42"/>
    </row>
    <row r="47" spans="1:29" ht="15.75" x14ac:dyDescent="0.25">
      <c r="A47" s="188"/>
      <c r="B47" s="188"/>
      <c r="C47" s="188"/>
      <c r="D47" s="254"/>
      <c r="E47" s="254"/>
      <c r="F47" s="255"/>
      <c r="G47" s="256"/>
      <c r="H47" s="255"/>
      <c r="I47" s="257"/>
      <c r="J47" s="258"/>
      <c r="K47" s="257"/>
      <c r="L47" s="258"/>
      <c r="M47" s="257"/>
      <c r="N47" s="259"/>
      <c r="O47" s="260"/>
      <c r="P47" s="194"/>
      <c r="Q47" s="195"/>
      <c r="R47" s="196"/>
      <c r="S47" s="179"/>
      <c r="T47" s="179"/>
      <c r="U47" s="179"/>
      <c r="V47" s="179"/>
      <c r="W47" s="180"/>
      <c r="X47" s="178"/>
      <c r="Y47" s="42"/>
      <c r="Z47" s="42"/>
      <c r="AA47" s="42"/>
      <c r="AB47" s="42"/>
      <c r="AC47" s="42"/>
    </row>
    <row r="48" spans="1:29" ht="15.75" x14ac:dyDescent="0.25">
      <c r="A48" s="188"/>
      <c r="B48" s="188"/>
      <c r="C48" s="188"/>
      <c r="D48" s="254" t="s">
        <v>3099</v>
      </c>
      <c r="E48" s="254">
        <v>2015</v>
      </c>
      <c r="F48" s="255">
        <v>10300</v>
      </c>
      <c r="G48" s="256">
        <v>10.5</v>
      </c>
      <c r="H48" s="255">
        <v>118000</v>
      </c>
      <c r="I48" s="257">
        <v>7.5</v>
      </c>
      <c r="J48" s="258">
        <v>254400</v>
      </c>
      <c r="K48" s="257">
        <v>5.6</v>
      </c>
      <c r="L48" s="258">
        <v>1456600</v>
      </c>
      <c r="M48" s="257">
        <v>4.3</v>
      </c>
      <c r="N48" s="259">
        <f t="shared" si="6"/>
        <v>212210</v>
      </c>
      <c r="O48" s="260">
        <f t="shared" si="6"/>
        <v>6.9599999999999991</v>
      </c>
      <c r="P48" s="194">
        <f t="shared" si="1"/>
        <v>-3.5400000000000009</v>
      </c>
      <c r="Q48" s="195">
        <f t="shared" si="2"/>
        <v>10300</v>
      </c>
      <c r="R48" s="196">
        <f t="shared" si="3"/>
        <v>-364.62000000000006</v>
      </c>
      <c r="S48" s="179"/>
      <c r="T48" s="179"/>
      <c r="U48" s="179"/>
      <c r="V48" s="179"/>
      <c r="W48" s="180"/>
      <c r="X48" s="178"/>
      <c r="Y48" s="42"/>
      <c r="Z48" s="42"/>
      <c r="AA48" s="42"/>
      <c r="AB48" s="42"/>
      <c r="AC48" s="42"/>
    </row>
    <row r="49" spans="1:29" ht="15.75" x14ac:dyDescent="0.25">
      <c r="A49" s="188"/>
      <c r="B49" s="188"/>
      <c r="C49" s="188"/>
      <c r="D49" s="254" t="s">
        <v>745</v>
      </c>
      <c r="E49" s="254">
        <v>2015</v>
      </c>
      <c r="F49" s="255">
        <v>9600</v>
      </c>
      <c r="G49" s="256">
        <v>11.9</v>
      </c>
      <c r="H49" s="255">
        <v>99900</v>
      </c>
      <c r="I49" s="257">
        <v>8.8000000000000007</v>
      </c>
      <c r="J49" s="258">
        <v>209800</v>
      </c>
      <c r="K49" s="257">
        <v>7</v>
      </c>
      <c r="L49" s="258">
        <v>909100</v>
      </c>
      <c r="M49" s="257">
        <v>5.6</v>
      </c>
      <c r="N49" s="259">
        <f t="shared" si="6"/>
        <v>162340</v>
      </c>
      <c r="O49" s="260">
        <f t="shared" si="6"/>
        <v>8.2799999999999994</v>
      </c>
      <c r="P49" s="194">
        <f t="shared" si="1"/>
        <v>-3.620000000000001</v>
      </c>
      <c r="Q49" s="195">
        <f t="shared" si="2"/>
        <v>9600</v>
      </c>
      <c r="R49" s="196">
        <f t="shared" si="3"/>
        <v>-347.5200000000001</v>
      </c>
      <c r="S49" s="179"/>
      <c r="T49" s="179"/>
      <c r="U49" s="179"/>
      <c r="V49" s="179"/>
      <c r="W49" s="180"/>
      <c r="X49" s="178"/>
      <c r="Y49" s="42"/>
      <c r="Z49" s="42"/>
      <c r="AA49" s="42"/>
      <c r="AB49" s="42"/>
      <c r="AC49" s="42"/>
    </row>
    <row r="50" spans="1:29" ht="15.75" x14ac:dyDescent="0.25">
      <c r="A50" s="188"/>
      <c r="B50" s="188"/>
      <c r="C50" s="188"/>
      <c r="D50" s="254" t="s">
        <v>748</v>
      </c>
      <c r="E50" s="254">
        <v>2015</v>
      </c>
      <c r="F50" s="255">
        <v>12300</v>
      </c>
      <c r="G50" s="256">
        <v>8.4</v>
      </c>
      <c r="H50" s="255">
        <v>140300</v>
      </c>
      <c r="I50" s="257">
        <v>6.4</v>
      </c>
      <c r="J50" s="258">
        <v>317800</v>
      </c>
      <c r="K50" s="257">
        <v>5.7</v>
      </c>
      <c r="L50" s="258">
        <v>1779900</v>
      </c>
      <c r="M50" s="257">
        <v>4.5999999999999996</v>
      </c>
      <c r="N50" s="259">
        <f t="shared" si="6"/>
        <v>257780</v>
      </c>
      <c r="O50" s="260">
        <f t="shared" si="6"/>
        <v>6.17</v>
      </c>
      <c r="P50" s="194">
        <f t="shared" si="1"/>
        <v>-2.2300000000000004</v>
      </c>
      <c r="Q50" s="195">
        <f t="shared" si="2"/>
        <v>12300</v>
      </c>
      <c r="R50" s="196">
        <f t="shared" si="3"/>
        <v>-274.29000000000002</v>
      </c>
      <c r="S50" s="179"/>
      <c r="T50" s="179"/>
      <c r="U50" s="179"/>
      <c r="V50" s="179"/>
      <c r="W50" s="180"/>
      <c r="X50" s="178"/>
      <c r="Y50" s="42"/>
      <c r="Z50" s="42"/>
      <c r="AA50" s="42"/>
      <c r="AB50" s="42"/>
      <c r="AC50" s="42"/>
    </row>
    <row r="51" spans="1:29" ht="15.75" x14ac:dyDescent="0.25">
      <c r="A51" s="188"/>
      <c r="B51" s="188"/>
      <c r="C51" s="188"/>
      <c r="D51" s="254" t="s">
        <v>759</v>
      </c>
      <c r="E51" s="254">
        <v>2015</v>
      </c>
      <c r="F51" s="255">
        <v>10900</v>
      </c>
      <c r="G51" s="256">
        <v>11.1</v>
      </c>
      <c r="H51" s="255">
        <v>123700</v>
      </c>
      <c r="I51" s="257">
        <v>7.7</v>
      </c>
      <c r="J51" s="258">
        <v>254400</v>
      </c>
      <c r="K51" s="257">
        <v>6</v>
      </c>
      <c r="L51" s="258">
        <v>1191700</v>
      </c>
      <c r="M51" s="257">
        <v>3.6</v>
      </c>
      <c r="N51" s="259">
        <f t="shared" si="6"/>
        <v>203240</v>
      </c>
      <c r="O51" s="260">
        <f t="shared" si="6"/>
        <v>7.1550000000000002</v>
      </c>
      <c r="P51" s="194">
        <f t="shared" si="1"/>
        <v>-3.9449999999999994</v>
      </c>
      <c r="Q51" s="195">
        <f t="shared" si="2"/>
        <v>10900</v>
      </c>
      <c r="R51" s="196">
        <f t="shared" si="3"/>
        <v>-430.00499999999994</v>
      </c>
      <c r="S51" s="179"/>
      <c r="T51" s="179"/>
      <c r="U51" s="179"/>
      <c r="V51" s="179"/>
      <c r="W51" s="180"/>
      <c r="X51" s="178"/>
      <c r="Y51" s="42"/>
      <c r="Z51" s="42"/>
      <c r="AA51" s="42"/>
      <c r="AB51" s="42"/>
      <c r="AC51" s="42"/>
    </row>
    <row r="52" spans="1:29" ht="15.75" x14ac:dyDescent="0.25">
      <c r="A52" s="188"/>
      <c r="B52" s="188"/>
      <c r="C52" s="188"/>
      <c r="D52" s="254" t="s">
        <v>3138</v>
      </c>
      <c r="E52" s="254">
        <v>2015</v>
      </c>
      <c r="F52" s="255">
        <v>10900</v>
      </c>
      <c r="G52" s="256">
        <v>10</v>
      </c>
      <c r="H52" s="255">
        <v>122800</v>
      </c>
      <c r="I52" s="257">
        <v>6.9</v>
      </c>
      <c r="J52" s="258">
        <v>262200</v>
      </c>
      <c r="K52" s="257">
        <v>5.4</v>
      </c>
      <c r="L52" s="258">
        <v>1225800</v>
      </c>
      <c r="M52" s="257">
        <v>4.2</v>
      </c>
      <c r="N52" s="259">
        <f t="shared" si="6"/>
        <v>205830</v>
      </c>
      <c r="O52" s="260">
        <f t="shared" si="6"/>
        <v>6.464999999999999</v>
      </c>
      <c r="P52" s="194">
        <f t="shared" si="1"/>
        <v>-3.535000000000001</v>
      </c>
      <c r="Q52" s="195">
        <f t="shared" si="2"/>
        <v>10900</v>
      </c>
      <c r="R52" s="196">
        <f t="shared" si="3"/>
        <v>-385.31500000000017</v>
      </c>
      <c r="S52" s="179"/>
      <c r="T52" s="179"/>
      <c r="U52" s="179"/>
      <c r="V52" s="179"/>
      <c r="W52" s="180"/>
      <c r="X52" s="178"/>
      <c r="Y52" s="42"/>
      <c r="Z52" s="42"/>
      <c r="AA52" s="42"/>
      <c r="AB52" s="42"/>
      <c r="AC52" s="42"/>
    </row>
    <row r="53" spans="1:29" ht="15.75" x14ac:dyDescent="0.25">
      <c r="A53" s="188"/>
      <c r="B53" s="188"/>
      <c r="C53" s="188"/>
      <c r="D53" s="254" t="s">
        <v>768</v>
      </c>
      <c r="E53" s="254">
        <v>2015</v>
      </c>
      <c r="F53" s="255">
        <v>10800</v>
      </c>
      <c r="G53" s="256">
        <v>9.5</v>
      </c>
      <c r="H53" s="255">
        <v>110600</v>
      </c>
      <c r="I53" s="257">
        <v>7.6</v>
      </c>
      <c r="J53" s="258">
        <v>229200</v>
      </c>
      <c r="K53" s="257">
        <v>6.8</v>
      </c>
      <c r="L53" s="258">
        <v>1088200</v>
      </c>
      <c r="M53" s="257">
        <v>5.5</v>
      </c>
      <c r="N53" s="259">
        <f t="shared" ref="N53:O66" si="8">(0.15*H53+0.04*J53+0.01*L53)/0.2</f>
        <v>183200</v>
      </c>
      <c r="O53" s="260">
        <f t="shared" si="8"/>
        <v>7.3349999999999991</v>
      </c>
      <c r="P53" s="194">
        <f t="shared" si="1"/>
        <v>-2.1650000000000009</v>
      </c>
      <c r="Q53" s="195">
        <f t="shared" si="2"/>
        <v>10800</v>
      </c>
      <c r="R53" s="196">
        <f t="shared" si="3"/>
        <v>-233.82000000000011</v>
      </c>
      <c r="S53" s="179"/>
      <c r="T53" s="179"/>
      <c r="U53" s="179"/>
      <c r="V53" s="179"/>
      <c r="W53" s="180"/>
      <c r="X53" s="178"/>
      <c r="Y53" s="42"/>
      <c r="Z53" s="42"/>
      <c r="AA53" s="42"/>
      <c r="AB53" s="42"/>
      <c r="AC53" s="42"/>
    </row>
    <row r="54" spans="1:29" ht="15.75" x14ac:dyDescent="0.25">
      <c r="A54" s="188"/>
      <c r="B54" s="188"/>
      <c r="C54" s="188"/>
      <c r="D54" s="254" t="s">
        <v>3139</v>
      </c>
      <c r="E54" s="254">
        <v>2015</v>
      </c>
      <c r="F54" s="255">
        <v>10400</v>
      </c>
      <c r="G54" s="256">
        <v>10.9</v>
      </c>
      <c r="H54" s="255">
        <v>105300</v>
      </c>
      <c r="I54" s="257">
        <v>8.6</v>
      </c>
      <c r="J54" s="258">
        <v>207200</v>
      </c>
      <c r="K54" s="257">
        <v>6.3</v>
      </c>
      <c r="L54" s="258">
        <v>822600</v>
      </c>
      <c r="M54" s="257">
        <v>4.8</v>
      </c>
      <c r="N54" s="259">
        <f t="shared" si="8"/>
        <v>161545</v>
      </c>
      <c r="O54" s="260">
        <f t="shared" si="8"/>
        <v>7.9499999999999993</v>
      </c>
      <c r="P54" s="194">
        <f t="shared" si="1"/>
        <v>-2.9500000000000011</v>
      </c>
      <c r="Q54" s="195">
        <f t="shared" si="2"/>
        <v>10400</v>
      </c>
      <c r="R54" s="196">
        <f t="shared" si="3"/>
        <v>-306.80000000000013</v>
      </c>
      <c r="S54" s="179"/>
      <c r="T54" s="179"/>
      <c r="U54" s="179"/>
      <c r="V54" s="179"/>
      <c r="W54" s="180"/>
      <c r="X54" s="178"/>
      <c r="Y54" s="42"/>
      <c r="Z54" s="42"/>
      <c r="AA54" s="42"/>
      <c r="AB54" s="42"/>
      <c r="AC54" s="42"/>
    </row>
    <row r="55" spans="1:29" ht="15.75" x14ac:dyDescent="0.25">
      <c r="A55" s="188"/>
      <c r="B55" s="188"/>
      <c r="C55" s="188"/>
      <c r="D55" s="254" t="s">
        <v>786</v>
      </c>
      <c r="E55" s="254">
        <v>2015</v>
      </c>
      <c r="F55" s="255">
        <v>12500</v>
      </c>
      <c r="G55" s="256">
        <v>12.5</v>
      </c>
      <c r="H55" s="255">
        <v>135200</v>
      </c>
      <c r="I55" s="257">
        <v>6.1</v>
      </c>
      <c r="J55" s="258">
        <v>305900</v>
      </c>
      <c r="K55" s="257">
        <v>4.7</v>
      </c>
      <c r="L55" s="258">
        <v>1826300</v>
      </c>
      <c r="M55" s="257">
        <v>2.9</v>
      </c>
      <c r="N55" s="259">
        <f t="shared" si="8"/>
        <v>253895</v>
      </c>
      <c r="O55" s="260">
        <f t="shared" si="8"/>
        <v>5.6599999999999993</v>
      </c>
      <c r="P55" s="194">
        <f t="shared" si="1"/>
        <v>-6.8400000000000007</v>
      </c>
      <c r="Q55" s="195">
        <f t="shared" si="2"/>
        <v>12500</v>
      </c>
      <c r="R55" s="196">
        <f t="shared" si="3"/>
        <v>-855.00000000000011</v>
      </c>
      <c r="S55" s="179"/>
      <c r="T55" s="179"/>
      <c r="U55" s="179"/>
      <c r="V55" s="179"/>
      <c r="W55" s="180"/>
      <c r="X55" s="178"/>
      <c r="Y55" s="42"/>
      <c r="Z55" s="42"/>
      <c r="AA55" s="42"/>
      <c r="AB55" s="42"/>
      <c r="AC55" s="42"/>
    </row>
    <row r="56" spans="1:29" ht="15.75" x14ac:dyDescent="0.25">
      <c r="A56" s="188"/>
      <c r="B56" s="188"/>
      <c r="C56" s="188"/>
      <c r="D56" s="254" t="s">
        <v>3140</v>
      </c>
      <c r="E56" s="254">
        <v>2015</v>
      </c>
      <c r="F56" s="265">
        <f t="shared" ref="F56:M56" si="9">MEDIAN(F49:F55)</f>
        <v>10900</v>
      </c>
      <c r="G56" s="262">
        <f t="shared" si="9"/>
        <v>10.9</v>
      </c>
      <c r="H56" s="265">
        <f t="shared" si="9"/>
        <v>122800</v>
      </c>
      <c r="I56" s="263">
        <f t="shared" si="9"/>
        <v>7.6</v>
      </c>
      <c r="J56" s="259">
        <f t="shared" si="9"/>
        <v>254400</v>
      </c>
      <c r="K56" s="263">
        <f t="shared" si="9"/>
        <v>6</v>
      </c>
      <c r="L56" s="259">
        <f t="shared" si="9"/>
        <v>1191700</v>
      </c>
      <c r="M56" s="263">
        <f t="shared" si="9"/>
        <v>4.5999999999999996</v>
      </c>
      <c r="N56" s="259">
        <f t="shared" si="8"/>
        <v>202565</v>
      </c>
      <c r="O56" s="262">
        <f>MEDIAN(O49:O55)</f>
        <v>7.1550000000000002</v>
      </c>
      <c r="P56" s="194">
        <f t="shared" si="1"/>
        <v>-3.7450000000000001</v>
      </c>
      <c r="Q56" s="195">
        <f t="shared" si="2"/>
        <v>10900</v>
      </c>
      <c r="R56" s="196">
        <f>MEDIAN(R49:R55)</f>
        <v>-347.5200000000001</v>
      </c>
      <c r="S56" s="179"/>
      <c r="T56" s="179"/>
      <c r="U56" s="179"/>
      <c r="V56" s="179"/>
      <c r="W56" s="147"/>
      <c r="X56" s="147"/>
      <c r="Y56" s="42"/>
      <c r="Z56" s="42"/>
      <c r="AA56" s="42"/>
      <c r="AB56" s="42"/>
      <c r="AC56" s="42"/>
    </row>
    <row r="57" spans="1:29" s="188" customFormat="1" x14ac:dyDescent="0.2">
      <c r="D57" s="189"/>
      <c r="E57" s="189"/>
      <c r="F57" s="190"/>
      <c r="G57" s="191"/>
      <c r="H57" s="190"/>
      <c r="I57" s="189"/>
      <c r="J57" s="192"/>
      <c r="K57" s="189"/>
      <c r="L57" s="192"/>
      <c r="M57" s="189"/>
      <c r="N57" s="192"/>
      <c r="O57" s="193"/>
      <c r="P57" s="194"/>
      <c r="Q57" s="195"/>
      <c r="R57" s="196"/>
      <c r="S57" s="197"/>
      <c r="T57" s="197"/>
      <c r="U57" s="197"/>
      <c r="V57" s="198"/>
      <c r="W57" s="199"/>
      <c r="X57" s="200"/>
      <c r="Y57" s="201"/>
      <c r="Z57" s="201"/>
      <c r="AA57" s="201"/>
      <c r="AB57" s="201"/>
      <c r="AC57" s="201"/>
    </row>
    <row r="58" spans="1:29" x14ac:dyDescent="0.2">
      <c r="A58" s="188"/>
      <c r="B58" s="188"/>
      <c r="C58" s="188"/>
      <c r="D58" s="266" t="s">
        <v>3099</v>
      </c>
      <c r="E58" s="266">
        <v>2018</v>
      </c>
      <c r="F58" s="265">
        <v>12000</v>
      </c>
      <c r="G58" s="267">
        <v>13.2</v>
      </c>
      <c r="H58" s="265">
        <v>127900</v>
      </c>
      <c r="I58" s="268">
        <v>8.6</v>
      </c>
      <c r="J58" s="259">
        <v>278600</v>
      </c>
      <c r="K58" s="268">
        <v>7.4</v>
      </c>
      <c r="L58" s="259">
        <v>1135300</v>
      </c>
      <c r="M58" s="268">
        <v>6.2</v>
      </c>
      <c r="N58" s="259">
        <f t="shared" si="8"/>
        <v>208410</v>
      </c>
      <c r="O58" s="260">
        <f t="shared" si="8"/>
        <v>8.2399999999999984</v>
      </c>
      <c r="P58" s="194">
        <f t="shared" si="1"/>
        <v>-4.9600000000000009</v>
      </c>
      <c r="Q58" s="195">
        <f t="shared" si="2"/>
        <v>12000</v>
      </c>
      <c r="R58" s="196">
        <f t="shared" si="3"/>
        <v>-595.20000000000005</v>
      </c>
      <c r="S58" s="179"/>
      <c r="T58" s="179"/>
      <c r="U58" s="179"/>
      <c r="V58" s="179"/>
      <c r="W58" s="180"/>
      <c r="X58" s="178"/>
      <c r="Y58" s="42"/>
      <c r="Z58" s="42"/>
      <c r="AA58" s="42"/>
      <c r="AB58" s="42"/>
      <c r="AC58" s="42"/>
    </row>
    <row r="59" spans="1:29" x14ac:dyDescent="0.2">
      <c r="A59" s="188"/>
      <c r="B59" s="188"/>
      <c r="C59" s="188"/>
      <c r="D59" s="266" t="s">
        <v>745</v>
      </c>
      <c r="E59" s="266">
        <v>2018</v>
      </c>
      <c r="F59" s="265">
        <v>11200</v>
      </c>
      <c r="G59" s="267">
        <v>11.3</v>
      </c>
      <c r="H59" s="265">
        <v>112900</v>
      </c>
      <c r="I59" s="268">
        <v>9.1999999999999993</v>
      </c>
      <c r="J59" s="259">
        <v>247000</v>
      </c>
      <c r="K59" s="268">
        <v>8.1999999999999993</v>
      </c>
      <c r="L59" s="259">
        <v>1129400</v>
      </c>
      <c r="M59" s="268">
        <v>6.9</v>
      </c>
      <c r="N59" s="259">
        <f t="shared" si="8"/>
        <v>190545</v>
      </c>
      <c r="O59" s="260">
        <f t="shared" si="8"/>
        <v>8.884999999999998</v>
      </c>
      <c r="P59" s="194">
        <f t="shared" si="1"/>
        <v>-2.4150000000000027</v>
      </c>
      <c r="Q59" s="195">
        <f t="shared" si="2"/>
        <v>11200</v>
      </c>
      <c r="R59" s="196">
        <f t="shared" si="3"/>
        <v>-270.4800000000003</v>
      </c>
      <c r="S59" s="179"/>
      <c r="T59" s="179"/>
      <c r="U59" s="179"/>
      <c r="V59" s="179"/>
      <c r="W59" s="180"/>
      <c r="X59" s="178"/>
      <c r="Y59" s="42"/>
      <c r="Z59" s="42"/>
      <c r="AA59" s="42"/>
      <c r="AB59" s="42"/>
      <c r="AC59" s="42"/>
    </row>
    <row r="60" spans="1:29" x14ac:dyDescent="0.2">
      <c r="A60" s="188"/>
      <c r="B60" s="188"/>
      <c r="C60" s="188"/>
      <c r="D60" s="266" t="s">
        <v>748</v>
      </c>
      <c r="E60" s="266">
        <v>2018</v>
      </c>
      <c r="F60" s="265">
        <v>13800</v>
      </c>
      <c r="G60" s="267">
        <v>8.6999999999999993</v>
      </c>
      <c r="H60" s="265">
        <v>156400</v>
      </c>
      <c r="I60" s="268">
        <v>7.6</v>
      </c>
      <c r="J60" s="259">
        <v>363900</v>
      </c>
      <c r="K60" s="268">
        <v>6.6</v>
      </c>
      <c r="L60" s="259">
        <v>1503300</v>
      </c>
      <c r="M60" s="268">
        <v>6.5</v>
      </c>
      <c r="N60" s="259">
        <f t="shared" si="8"/>
        <v>265245</v>
      </c>
      <c r="O60" s="260">
        <f t="shared" si="8"/>
        <v>7.3449999999999989</v>
      </c>
      <c r="P60" s="194">
        <f t="shared" si="1"/>
        <v>-1.3550000000000004</v>
      </c>
      <c r="Q60" s="195">
        <f t="shared" si="2"/>
        <v>13800</v>
      </c>
      <c r="R60" s="196">
        <f t="shared" si="3"/>
        <v>-186.99000000000007</v>
      </c>
      <c r="S60" s="179"/>
      <c r="T60" s="179"/>
      <c r="U60" s="179"/>
      <c r="V60" s="179"/>
      <c r="W60" s="180"/>
      <c r="X60" s="178"/>
      <c r="Y60" s="42"/>
      <c r="Z60" s="42"/>
      <c r="AA60" s="42"/>
      <c r="AB60" s="42"/>
      <c r="AC60" s="42"/>
    </row>
    <row r="61" spans="1:29" x14ac:dyDescent="0.2">
      <c r="A61" s="188"/>
      <c r="B61" s="188"/>
      <c r="C61" s="188"/>
      <c r="D61" s="266" t="s">
        <v>759</v>
      </c>
      <c r="E61" s="266">
        <v>2018</v>
      </c>
      <c r="F61" s="265">
        <v>12000</v>
      </c>
      <c r="G61" s="267">
        <v>11.4</v>
      </c>
      <c r="H61" s="265">
        <v>138000</v>
      </c>
      <c r="I61" s="268">
        <v>9.9</v>
      </c>
      <c r="J61" s="259">
        <v>301300</v>
      </c>
      <c r="K61" s="268">
        <v>8.6</v>
      </c>
      <c r="L61" s="259">
        <v>1289800</v>
      </c>
      <c r="M61" s="268">
        <v>7.4</v>
      </c>
      <c r="N61" s="259">
        <f t="shared" si="8"/>
        <v>228250</v>
      </c>
      <c r="O61" s="260">
        <f t="shared" si="8"/>
        <v>9.5150000000000006</v>
      </c>
      <c r="P61" s="194">
        <f t="shared" si="1"/>
        <v>-1.8849999999999998</v>
      </c>
      <c r="Q61" s="195">
        <f t="shared" si="2"/>
        <v>12000</v>
      </c>
      <c r="R61" s="196">
        <f t="shared" si="3"/>
        <v>-226.19999999999996</v>
      </c>
      <c r="S61" s="179"/>
      <c r="T61" s="179"/>
      <c r="U61" s="179"/>
      <c r="V61" s="179"/>
      <c r="W61" s="180"/>
      <c r="X61" s="178"/>
      <c r="Y61" s="42"/>
      <c r="Z61" s="42"/>
      <c r="AA61" s="42"/>
      <c r="AB61" s="42"/>
      <c r="AC61" s="42"/>
    </row>
    <row r="62" spans="1:29" x14ac:dyDescent="0.2">
      <c r="A62" s="188"/>
      <c r="B62" s="188"/>
      <c r="C62" s="188"/>
      <c r="D62" s="266" t="s">
        <v>3138</v>
      </c>
      <c r="E62" s="266">
        <v>2018</v>
      </c>
      <c r="F62" s="265">
        <v>10500</v>
      </c>
      <c r="G62" s="267">
        <v>11.9</v>
      </c>
      <c r="H62" s="265">
        <v>123900</v>
      </c>
      <c r="I62" s="268">
        <v>8</v>
      </c>
      <c r="J62" s="259">
        <v>272200</v>
      </c>
      <c r="K62" s="268">
        <v>7.2</v>
      </c>
      <c r="L62" s="259">
        <v>1061200</v>
      </c>
      <c r="M62" s="268">
        <v>6.2</v>
      </c>
      <c r="N62" s="259">
        <f t="shared" si="8"/>
        <v>200425</v>
      </c>
      <c r="O62" s="260">
        <f t="shared" si="8"/>
        <v>7.75</v>
      </c>
      <c r="P62" s="194">
        <f t="shared" si="1"/>
        <v>-4.1500000000000004</v>
      </c>
      <c r="Q62" s="195">
        <f t="shared" si="2"/>
        <v>10500</v>
      </c>
      <c r="R62" s="196">
        <f t="shared" si="3"/>
        <v>-435.75000000000006</v>
      </c>
      <c r="S62" s="179"/>
      <c r="T62" s="179"/>
      <c r="U62" s="179"/>
      <c r="V62" s="179"/>
      <c r="W62" s="180"/>
      <c r="X62" s="178"/>
      <c r="Y62" s="42"/>
      <c r="Z62" s="42"/>
      <c r="AA62" s="42"/>
      <c r="AB62" s="42"/>
      <c r="AC62" s="42"/>
    </row>
    <row r="63" spans="1:29" x14ac:dyDescent="0.2">
      <c r="A63" s="188"/>
      <c r="B63" s="188"/>
      <c r="C63" s="188"/>
      <c r="D63" s="266" t="s">
        <v>768</v>
      </c>
      <c r="E63" s="266">
        <v>2018</v>
      </c>
      <c r="F63" s="265">
        <v>10500</v>
      </c>
      <c r="G63" s="267">
        <v>9.9</v>
      </c>
      <c r="H63" s="265">
        <v>125600</v>
      </c>
      <c r="I63" s="268">
        <v>8.6999999999999993</v>
      </c>
      <c r="J63" s="259">
        <v>266300</v>
      </c>
      <c r="K63" s="268">
        <v>7.8</v>
      </c>
      <c r="L63" s="259">
        <v>1222900</v>
      </c>
      <c r="M63" s="268">
        <v>6.2</v>
      </c>
      <c r="N63" s="259">
        <f t="shared" si="8"/>
        <v>208605</v>
      </c>
      <c r="O63" s="260">
        <f t="shared" si="8"/>
        <v>8.3949999999999996</v>
      </c>
      <c r="P63" s="194">
        <f t="shared" si="1"/>
        <v>-1.5050000000000008</v>
      </c>
      <c r="Q63" s="195">
        <f t="shared" si="2"/>
        <v>10500</v>
      </c>
      <c r="R63" s="196">
        <f t="shared" si="3"/>
        <v>-158.02500000000009</v>
      </c>
      <c r="S63" s="179"/>
      <c r="T63" s="179"/>
      <c r="U63" s="179"/>
      <c r="V63" s="179"/>
      <c r="W63" s="180"/>
      <c r="X63" s="178"/>
      <c r="Y63" s="42"/>
      <c r="Z63" s="42"/>
      <c r="AA63" s="42"/>
      <c r="AB63" s="42"/>
      <c r="AC63" s="42"/>
    </row>
    <row r="64" spans="1:29" x14ac:dyDescent="0.2">
      <c r="A64" s="188"/>
      <c r="B64" s="188"/>
      <c r="C64" s="188"/>
      <c r="D64" s="266" t="s">
        <v>3139</v>
      </c>
      <c r="E64" s="266">
        <v>2018</v>
      </c>
      <c r="F64" s="265">
        <v>11500</v>
      </c>
      <c r="G64" s="267">
        <v>10.6</v>
      </c>
      <c r="H64" s="265">
        <v>116400</v>
      </c>
      <c r="I64" s="268">
        <v>8.9</v>
      </c>
      <c r="J64" s="259">
        <v>229700</v>
      </c>
      <c r="K64" s="268">
        <v>7.4</v>
      </c>
      <c r="L64" s="259">
        <v>845400</v>
      </c>
      <c r="M64" s="268">
        <v>6</v>
      </c>
      <c r="N64" s="259">
        <f t="shared" si="8"/>
        <v>175510</v>
      </c>
      <c r="O64" s="260">
        <f t="shared" si="8"/>
        <v>8.4550000000000001</v>
      </c>
      <c r="P64" s="194">
        <f t="shared" si="1"/>
        <v>-2.1449999999999996</v>
      </c>
      <c r="Q64" s="195">
        <f t="shared" si="2"/>
        <v>11500</v>
      </c>
      <c r="R64" s="196">
        <f t="shared" si="3"/>
        <v>-246.67499999999995</v>
      </c>
      <c r="S64" s="179"/>
      <c r="T64" s="179"/>
      <c r="U64" s="179"/>
      <c r="V64" s="179"/>
      <c r="W64" s="180"/>
      <c r="X64" s="178"/>
      <c r="Y64" s="42"/>
      <c r="Z64" s="42"/>
      <c r="AA64" s="42"/>
      <c r="AB64" s="42"/>
      <c r="AC64" s="42"/>
    </row>
    <row r="65" spans="1:29" x14ac:dyDescent="0.2">
      <c r="A65" s="188"/>
      <c r="B65" s="188"/>
      <c r="C65" s="188"/>
      <c r="D65" s="266" t="s">
        <v>786</v>
      </c>
      <c r="E65" s="266">
        <v>2018</v>
      </c>
      <c r="F65" s="265">
        <v>13000</v>
      </c>
      <c r="G65" s="267">
        <v>13</v>
      </c>
      <c r="H65" s="265">
        <v>138200</v>
      </c>
      <c r="I65" s="268">
        <v>7.4</v>
      </c>
      <c r="J65" s="259">
        <v>326000</v>
      </c>
      <c r="K65" s="268">
        <v>5.4</v>
      </c>
      <c r="L65" s="259">
        <v>1636700</v>
      </c>
      <c r="M65" s="268">
        <v>3.1</v>
      </c>
      <c r="N65" s="259">
        <f t="shared" si="8"/>
        <v>250685</v>
      </c>
      <c r="O65" s="260">
        <f t="shared" si="8"/>
        <v>6.7849999999999993</v>
      </c>
      <c r="P65" s="194">
        <f t="shared" si="1"/>
        <v>-6.2150000000000007</v>
      </c>
      <c r="Q65" s="195">
        <f t="shared" si="2"/>
        <v>13000</v>
      </c>
      <c r="R65" s="196">
        <f t="shared" si="3"/>
        <v>-807.95000000000016</v>
      </c>
      <c r="S65" s="179"/>
      <c r="T65" s="179"/>
      <c r="U65" s="179"/>
      <c r="V65" s="179"/>
      <c r="W65" s="180"/>
      <c r="X65" s="178"/>
      <c r="Y65" s="42"/>
      <c r="Z65" s="42"/>
      <c r="AA65" s="42"/>
      <c r="AB65" s="42"/>
      <c r="AC65" s="42"/>
    </row>
    <row r="66" spans="1:29" ht="15.75" x14ac:dyDescent="0.25">
      <c r="A66" s="188"/>
      <c r="B66" s="188"/>
      <c r="C66" s="188"/>
      <c r="D66" s="254" t="s">
        <v>3140</v>
      </c>
      <c r="E66" s="266">
        <v>2018</v>
      </c>
      <c r="F66" s="265">
        <f t="shared" ref="F66:M66" si="10">MEDIAN(F59:F65)</f>
        <v>11500</v>
      </c>
      <c r="G66" s="262">
        <f t="shared" si="10"/>
        <v>11.3</v>
      </c>
      <c r="H66" s="265">
        <f t="shared" si="10"/>
        <v>125600</v>
      </c>
      <c r="I66" s="263">
        <f t="shared" si="10"/>
        <v>8.6999999999999993</v>
      </c>
      <c r="J66" s="259">
        <f t="shared" si="10"/>
        <v>272200</v>
      </c>
      <c r="K66" s="263">
        <f t="shared" si="10"/>
        <v>7.4</v>
      </c>
      <c r="L66" s="259">
        <f t="shared" si="10"/>
        <v>1222900</v>
      </c>
      <c r="M66" s="263">
        <f t="shared" si="10"/>
        <v>6.2</v>
      </c>
      <c r="N66" s="259">
        <f t="shared" si="8"/>
        <v>209785</v>
      </c>
      <c r="O66" s="262">
        <f>MEDIAN(O59:O65)</f>
        <v>8.3949999999999996</v>
      </c>
      <c r="P66" s="194">
        <f t="shared" si="1"/>
        <v>-2.9050000000000011</v>
      </c>
      <c r="Q66" s="195">
        <f t="shared" si="2"/>
        <v>11500</v>
      </c>
      <c r="R66" s="196">
        <f>MEDIAN(R59:R65)</f>
        <v>-246.67499999999995</v>
      </c>
      <c r="S66" s="179"/>
      <c r="T66" s="179"/>
      <c r="U66" s="179"/>
      <c r="V66" s="179"/>
      <c r="W66" s="147"/>
      <c r="X66" s="147"/>
      <c r="Y66" s="42"/>
      <c r="Z66" s="42"/>
      <c r="AA66" s="42"/>
      <c r="AB66" s="42"/>
      <c r="AC66" s="42"/>
    </row>
    <row r="67" spans="1:29" x14ac:dyDescent="0.2">
      <c r="C67" s="147"/>
      <c r="D67" s="147"/>
      <c r="E67" s="147"/>
      <c r="G67" s="147"/>
      <c r="I67" s="147"/>
      <c r="K67" s="147"/>
      <c r="M67" s="147"/>
      <c r="O67" s="147"/>
      <c r="P67" s="147"/>
      <c r="Q67" s="147"/>
      <c r="S67" s="147"/>
      <c r="T67" s="147"/>
      <c r="U67" s="147"/>
      <c r="V67" s="147"/>
      <c r="W67" s="147"/>
      <c r="X67" s="147"/>
      <c r="Y67" s="147"/>
      <c r="Z67" s="147"/>
      <c r="AA67" s="147"/>
      <c r="AB67" s="147"/>
      <c r="AC67" s="147"/>
    </row>
    <row r="68" spans="1:29" ht="15.75" x14ac:dyDescent="0.25">
      <c r="C68" s="147"/>
      <c r="D68" s="182"/>
      <c r="E68" s="147" t="s">
        <v>3461</v>
      </c>
      <c r="G68" s="113"/>
      <c r="I68" s="113"/>
      <c r="K68" s="113"/>
      <c r="M68" s="113"/>
      <c r="O68" s="147"/>
      <c r="P68" s="147"/>
      <c r="Q68" s="147"/>
      <c r="S68" s="147"/>
      <c r="T68" s="147"/>
      <c r="U68" s="147"/>
      <c r="V68" s="147"/>
      <c r="W68" s="147"/>
      <c r="X68" s="147"/>
      <c r="Y68" s="147"/>
      <c r="Z68" s="147"/>
      <c r="AA68" s="147"/>
      <c r="AB68" s="147"/>
      <c r="AC68" s="147"/>
    </row>
    <row r="69" spans="1:29" ht="15.75" x14ac:dyDescent="0.25">
      <c r="C69" s="147"/>
      <c r="D69" s="183"/>
      <c r="E69" s="246"/>
      <c r="F69" s="140" t="s">
        <v>114</v>
      </c>
      <c r="G69" s="269" t="s">
        <v>3460</v>
      </c>
      <c r="I69" s="113"/>
      <c r="K69" s="113"/>
      <c r="M69" s="113"/>
      <c r="O69" s="147"/>
      <c r="P69" s="147"/>
      <c r="Q69" s="147"/>
      <c r="S69" s="147"/>
      <c r="T69" s="147"/>
      <c r="U69" s="147"/>
      <c r="V69" s="147"/>
      <c r="W69" s="147"/>
      <c r="X69" s="147"/>
      <c r="Y69" s="147"/>
      <c r="Z69" s="147"/>
      <c r="AA69" s="147"/>
      <c r="AB69" s="147"/>
      <c r="AC69" s="147"/>
    </row>
    <row r="70" spans="1:29" x14ac:dyDescent="0.2">
      <c r="E70" s="246">
        <f>+E8</f>
        <v>1995</v>
      </c>
      <c r="F70" s="140">
        <f>+R8</f>
        <v>-308.49000000000012</v>
      </c>
      <c r="G70" s="270">
        <f>+R16</f>
        <v>-601.75000000000011</v>
      </c>
    </row>
    <row r="71" spans="1:29" x14ac:dyDescent="0.2">
      <c r="E71" s="246">
        <f>+E18</f>
        <v>2002</v>
      </c>
      <c r="F71" s="140">
        <f>+R18</f>
        <v>-273.43000000000006</v>
      </c>
      <c r="G71" s="270">
        <f>+R26</f>
        <v>-308.10000000000008</v>
      </c>
    </row>
    <row r="72" spans="1:29" x14ac:dyDescent="0.2">
      <c r="E72" s="246">
        <f>+E32</f>
        <v>2007</v>
      </c>
      <c r="F72" s="140">
        <f>R28</f>
        <v>-286.44000000000005</v>
      </c>
      <c r="G72" s="270">
        <f>+R36</f>
        <v>-340.29000000000008</v>
      </c>
    </row>
    <row r="73" spans="1:29" x14ac:dyDescent="0.2">
      <c r="E73" s="246">
        <f>+E45</f>
        <v>2013</v>
      </c>
      <c r="F73" s="140">
        <f>R38</f>
        <v>-315.36000000000013</v>
      </c>
      <c r="G73" s="270">
        <f>+R46</f>
        <v>-321.80999999999995</v>
      </c>
    </row>
    <row r="74" spans="1:29" x14ac:dyDescent="0.2">
      <c r="E74" s="246">
        <f>+E55</f>
        <v>2015</v>
      </c>
      <c r="F74" s="140">
        <f>+R48</f>
        <v>-364.62000000000006</v>
      </c>
      <c r="G74" s="270">
        <f>+R56</f>
        <v>-347.5200000000001</v>
      </c>
    </row>
    <row r="75" spans="1:29" x14ac:dyDescent="0.2">
      <c r="E75" s="246">
        <f>+E65</f>
        <v>2018</v>
      </c>
      <c r="F75" s="140">
        <f>+R58</f>
        <v>-595.20000000000005</v>
      </c>
      <c r="G75" s="270">
        <f>+R66</f>
        <v>-246.67499999999995</v>
      </c>
    </row>
  </sheetData>
  <mergeCells count="4">
    <mergeCell ref="S5:T5"/>
    <mergeCell ref="U5:V5"/>
    <mergeCell ref="I6:O6"/>
    <mergeCell ref="P6:R6"/>
  </mergeCells>
  <hyperlinks>
    <hyperlink ref="M5" r:id="rId1"/>
    <hyperlink ref="H1" location="Index!A1" display="Return to Index"/>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H1" sqref="H1"/>
    </sheetView>
  </sheetViews>
  <sheetFormatPr defaultRowHeight="12.75" x14ac:dyDescent="0.2"/>
  <cols>
    <col min="1" max="1" width="19.7109375" customWidth="1"/>
    <col min="4" max="6" width="14.7109375" customWidth="1"/>
    <col min="7" max="7" width="21.28515625" customWidth="1"/>
    <col min="8" max="8" width="14.7109375" customWidth="1"/>
  </cols>
  <sheetData>
    <row r="1" spans="1:8" x14ac:dyDescent="0.2">
      <c r="A1" s="32" t="s">
        <v>162</v>
      </c>
      <c r="B1">
        <v>1</v>
      </c>
      <c r="H1" s="48" t="s">
        <v>3630</v>
      </c>
    </row>
    <row r="2" spans="1:8" x14ac:dyDescent="0.2">
      <c r="A2" t="s">
        <v>633</v>
      </c>
      <c r="B2" t="s">
        <v>3533</v>
      </c>
    </row>
    <row r="3" spans="1:8" x14ac:dyDescent="0.2">
      <c r="A3" s="147"/>
      <c r="B3" s="147"/>
      <c r="C3" s="147"/>
      <c r="D3" s="147"/>
      <c r="E3" s="147"/>
      <c r="F3" s="147"/>
      <c r="G3" s="147"/>
      <c r="H3" s="147"/>
    </row>
    <row r="4" spans="1:8" x14ac:dyDescent="0.2">
      <c r="A4" s="32" t="s">
        <v>729</v>
      </c>
      <c r="B4" s="147"/>
      <c r="C4" s="147"/>
      <c r="D4" s="147"/>
      <c r="E4" s="147"/>
      <c r="F4" s="147"/>
      <c r="G4" s="147"/>
      <c r="H4" s="147"/>
    </row>
    <row r="5" spans="1:8" x14ac:dyDescent="0.2">
      <c r="A5" s="147"/>
      <c r="B5" s="147"/>
      <c r="C5" s="147"/>
      <c r="D5" s="147"/>
      <c r="E5" s="147"/>
      <c r="F5" s="147"/>
      <c r="G5" s="147"/>
      <c r="H5" s="147"/>
    </row>
    <row r="6" spans="1:8" x14ac:dyDescent="0.2">
      <c r="A6" s="147"/>
      <c r="B6" s="147"/>
      <c r="C6" s="147"/>
      <c r="D6" s="147"/>
      <c r="E6" s="147"/>
      <c r="F6" s="147"/>
      <c r="G6" s="147"/>
      <c r="H6" s="147"/>
    </row>
    <row r="7" spans="1:8" x14ac:dyDescent="0.2">
      <c r="A7" s="143" t="s">
        <v>550</v>
      </c>
      <c r="B7" s="144"/>
      <c r="C7" s="144"/>
      <c r="D7" s="144"/>
      <c r="E7" s="144"/>
      <c r="F7" s="144"/>
      <c r="G7" s="144"/>
    </row>
    <row r="8" spans="1:8" x14ac:dyDescent="0.2">
      <c r="A8" s="144"/>
      <c r="B8" s="144"/>
      <c r="C8" s="144"/>
      <c r="D8" s="144"/>
      <c r="E8" s="144"/>
      <c r="F8" s="144"/>
      <c r="G8" s="144"/>
    </row>
    <row r="9" spans="1:8" ht="25.5" x14ac:dyDescent="0.2">
      <c r="A9" s="144" t="s">
        <v>636</v>
      </c>
      <c r="B9" s="144" t="s">
        <v>637</v>
      </c>
      <c r="C9" s="144" t="s">
        <v>638</v>
      </c>
      <c r="D9" s="144" t="s">
        <v>183</v>
      </c>
      <c r="E9" s="144" t="s">
        <v>712</v>
      </c>
      <c r="F9" s="144"/>
      <c r="G9" s="144"/>
    </row>
    <row r="10" spans="1:8" x14ac:dyDescent="0.2">
      <c r="A10" s="144" t="s">
        <v>639</v>
      </c>
      <c r="B10" s="145">
        <v>0.75</v>
      </c>
      <c r="C10" s="145">
        <v>1.75</v>
      </c>
      <c r="D10" s="145">
        <v>1</v>
      </c>
      <c r="E10" s="144" t="s">
        <v>713</v>
      </c>
      <c r="F10" s="144"/>
      <c r="G10" s="144" t="s">
        <v>715</v>
      </c>
      <c r="H10">
        <v>40</v>
      </c>
    </row>
    <row r="11" spans="1:8" x14ac:dyDescent="0.2">
      <c r="A11" s="144" t="s">
        <v>640</v>
      </c>
      <c r="B11" s="145">
        <v>2</v>
      </c>
      <c r="C11" s="145">
        <v>2</v>
      </c>
      <c r="D11" s="145">
        <v>0</v>
      </c>
      <c r="E11" s="144"/>
      <c r="F11" s="144"/>
      <c r="G11" s="142" t="s">
        <v>716</v>
      </c>
      <c r="H11">
        <v>6</v>
      </c>
    </row>
    <row r="12" spans="1:8" ht="25.5" x14ac:dyDescent="0.2">
      <c r="A12" s="144" t="s">
        <v>641</v>
      </c>
      <c r="B12" s="145">
        <v>2</v>
      </c>
      <c r="C12" s="145">
        <v>1.75</v>
      </c>
      <c r="D12" s="145">
        <v>-0.25</v>
      </c>
      <c r="E12" s="144" t="s">
        <v>714</v>
      </c>
      <c r="F12" s="144"/>
      <c r="G12" s="144" t="s">
        <v>717</v>
      </c>
      <c r="H12">
        <v>31</v>
      </c>
    </row>
    <row r="13" spans="1:8" x14ac:dyDescent="0.2">
      <c r="A13" s="144" t="s">
        <v>642</v>
      </c>
      <c r="B13" s="145">
        <v>2</v>
      </c>
      <c r="C13" s="145">
        <v>2</v>
      </c>
      <c r="D13" s="145">
        <v>0</v>
      </c>
      <c r="E13" s="144"/>
      <c r="F13" s="144"/>
      <c r="G13" s="144"/>
    </row>
    <row r="14" spans="1:8" x14ac:dyDescent="0.2">
      <c r="A14" s="144" t="s">
        <v>643</v>
      </c>
      <c r="B14" s="145">
        <v>0.3</v>
      </c>
      <c r="C14" s="145">
        <v>0.35</v>
      </c>
      <c r="D14" s="145">
        <v>0.05</v>
      </c>
      <c r="E14" s="144" t="s">
        <v>713</v>
      </c>
      <c r="F14" s="144"/>
      <c r="G14" s="144"/>
    </row>
    <row r="15" spans="1:8" x14ac:dyDescent="0.2">
      <c r="A15" s="144" t="s">
        <v>644</v>
      </c>
      <c r="B15" s="145">
        <v>0.5</v>
      </c>
      <c r="C15" s="145">
        <v>0.875</v>
      </c>
      <c r="D15" s="145">
        <v>0.375</v>
      </c>
      <c r="E15" s="144" t="s">
        <v>713</v>
      </c>
      <c r="F15" s="144"/>
      <c r="G15" s="144"/>
    </row>
    <row r="16" spans="1:8" x14ac:dyDescent="0.2">
      <c r="A16" s="144" t="s">
        <v>645</v>
      </c>
      <c r="B16" s="145">
        <v>0.25</v>
      </c>
      <c r="C16" s="145">
        <v>0.5</v>
      </c>
      <c r="D16" s="145">
        <v>0.25</v>
      </c>
      <c r="E16" s="144" t="s">
        <v>713</v>
      </c>
      <c r="F16" s="144"/>
      <c r="G16" s="144"/>
    </row>
    <row r="17" spans="1:7" x14ac:dyDescent="0.2">
      <c r="A17" s="144" t="s">
        <v>646</v>
      </c>
      <c r="B17" s="145">
        <v>1.5</v>
      </c>
      <c r="C17" s="145">
        <v>1.5</v>
      </c>
      <c r="D17" s="145">
        <v>0</v>
      </c>
      <c r="E17" s="144"/>
      <c r="F17" s="144"/>
      <c r="G17" s="144"/>
    </row>
    <row r="18" spans="1:7" x14ac:dyDescent="0.2">
      <c r="A18" s="144" t="s">
        <v>647</v>
      </c>
      <c r="B18" s="145">
        <v>0.35</v>
      </c>
      <c r="C18" s="145">
        <v>0.35</v>
      </c>
      <c r="D18" s="145">
        <v>0</v>
      </c>
      <c r="E18" s="144"/>
      <c r="F18" s="144"/>
      <c r="G18" s="144"/>
    </row>
    <row r="19" spans="1:7" x14ac:dyDescent="0.2">
      <c r="A19" s="144" t="s">
        <v>648</v>
      </c>
      <c r="B19" s="145">
        <v>0.5</v>
      </c>
      <c r="C19" s="145">
        <v>0.875</v>
      </c>
      <c r="D19" s="145">
        <v>0.375</v>
      </c>
      <c r="E19" s="144" t="s">
        <v>713</v>
      </c>
      <c r="F19" s="144"/>
      <c r="G19" s="144"/>
    </row>
    <row r="20" spans="1:7" x14ac:dyDescent="0.2">
      <c r="A20" s="144" t="s">
        <v>649</v>
      </c>
      <c r="B20" s="145">
        <v>2</v>
      </c>
      <c r="C20" s="145">
        <v>1.75</v>
      </c>
      <c r="D20" s="145">
        <v>-0.25</v>
      </c>
      <c r="E20" s="144" t="s">
        <v>714</v>
      </c>
      <c r="F20" s="144"/>
      <c r="G20" s="144"/>
    </row>
    <row r="21" spans="1:7" x14ac:dyDescent="0.2">
      <c r="A21" s="144" t="s">
        <v>650</v>
      </c>
      <c r="B21" s="145">
        <v>2</v>
      </c>
      <c r="C21" s="145">
        <v>2</v>
      </c>
      <c r="D21" s="145">
        <v>0</v>
      </c>
      <c r="E21" s="144"/>
      <c r="F21" s="144"/>
      <c r="G21" s="144"/>
    </row>
    <row r="22" spans="1:7" x14ac:dyDescent="0.2">
      <c r="A22" s="144" t="s">
        <v>651</v>
      </c>
      <c r="B22" s="145">
        <v>2</v>
      </c>
      <c r="C22" s="145">
        <v>2</v>
      </c>
      <c r="D22" s="145">
        <v>0</v>
      </c>
      <c r="E22" s="144"/>
      <c r="F22" s="144"/>
      <c r="G22" s="144"/>
    </row>
    <row r="23" spans="1:7" x14ac:dyDescent="0.2">
      <c r="A23" s="144" t="s">
        <v>652</v>
      </c>
      <c r="B23" s="145">
        <v>0.25</v>
      </c>
      <c r="C23" s="145">
        <v>0.125</v>
      </c>
      <c r="D23" s="145">
        <v>-0.125</v>
      </c>
      <c r="E23" s="144" t="s">
        <v>714</v>
      </c>
      <c r="F23" s="144"/>
      <c r="G23" s="144"/>
    </row>
    <row r="24" spans="1:7" x14ac:dyDescent="0.2">
      <c r="A24" s="144" t="s">
        <v>653</v>
      </c>
      <c r="B24" s="145">
        <v>1</v>
      </c>
      <c r="C24" s="145">
        <v>2</v>
      </c>
      <c r="D24" s="145">
        <v>1</v>
      </c>
      <c r="E24" s="144" t="s">
        <v>713</v>
      </c>
      <c r="F24" s="144"/>
      <c r="G24" s="144"/>
    </row>
    <row r="25" spans="1:7" x14ac:dyDescent="0.2">
      <c r="A25" s="144" t="s">
        <v>654</v>
      </c>
      <c r="B25" s="145">
        <v>0.25</v>
      </c>
      <c r="C25" s="145">
        <v>0.375</v>
      </c>
      <c r="D25" s="145">
        <v>0.125</v>
      </c>
      <c r="E25" s="144" t="s">
        <v>713</v>
      </c>
      <c r="F25" s="144"/>
      <c r="G25" s="144"/>
    </row>
    <row r="26" spans="1:7" x14ac:dyDescent="0.2">
      <c r="A26" s="144" t="s">
        <v>655</v>
      </c>
      <c r="B26" s="145">
        <v>1.25</v>
      </c>
      <c r="C26" s="145">
        <v>2</v>
      </c>
      <c r="D26" s="145">
        <v>0.75</v>
      </c>
      <c r="E26" s="144" t="s">
        <v>713</v>
      </c>
      <c r="F26" s="144"/>
      <c r="G26" s="144"/>
    </row>
    <row r="27" spans="1:7" x14ac:dyDescent="0.2">
      <c r="A27" s="144" t="s">
        <v>656</v>
      </c>
      <c r="B27" s="145">
        <v>2</v>
      </c>
      <c r="C27" s="145">
        <v>2</v>
      </c>
      <c r="D27" s="145">
        <v>0</v>
      </c>
      <c r="E27" s="144"/>
      <c r="F27" s="144"/>
      <c r="G27" s="144"/>
    </row>
    <row r="28" spans="1:7" x14ac:dyDescent="0.2">
      <c r="A28" s="144" t="s">
        <v>657</v>
      </c>
      <c r="B28" s="145">
        <v>1</v>
      </c>
      <c r="C28" s="145">
        <v>1</v>
      </c>
      <c r="D28" s="145">
        <v>0</v>
      </c>
      <c r="E28" s="144"/>
      <c r="F28" s="144"/>
      <c r="G28" s="144"/>
    </row>
    <row r="29" spans="1:7" x14ac:dyDescent="0.2">
      <c r="A29" s="144" t="s">
        <v>658</v>
      </c>
      <c r="B29" s="145">
        <v>1</v>
      </c>
      <c r="C29" s="145">
        <v>0.5</v>
      </c>
      <c r="D29" s="145">
        <v>-0.5</v>
      </c>
      <c r="E29" s="144" t="s">
        <v>714</v>
      </c>
      <c r="F29" s="144"/>
      <c r="G29" s="144"/>
    </row>
    <row r="30" spans="1:7" x14ac:dyDescent="0.2">
      <c r="A30" s="144" t="s">
        <v>78</v>
      </c>
      <c r="B30" s="145">
        <v>0.9</v>
      </c>
      <c r="C30" s="145">
        <v>1.4</v>
      </c>
      <c r="D30" s="145">
        <v>0.5</v>
      </c>
      <c r="E30" s="144" t="s">
        <v>713</v>
      </c>
      <c r="F30" s="144"/>
      <c r="G30" s="144"/>
    </row>
    <row r="31" spans="1:7" x14ac:dyDescent="0.2">
      <c r="A31" s="144" t="s">
        <v>659</v>
      </c>
      <c r="B31" s="145">
        <v>1.75</v>
      </c>
      <c r="C31" s="145">
        <v>1.75</v>
      </c>
      <c r="D31" s="145">
        <v>0</v>
      </c>
      <c r="E31" s="144"/>
      <c r="F31" s="144"/>
      <c r="G31" s="144"/>
    </row>
    <row r="32" spans="1:7" x14ac:dyDescent="0.2">
      <c r="A32" s="144" t="s">
        <v>660</v>
      </c>
      <c r="B32" s="145">
        <v>2</v>
      </c>
      <c r="C32" s="145">
        <v>2</v>
      </c>
      <c r="D32" s="145">
        <v>0</v>
      </c>
      <c r="E32" s="144"/>
      <c r="F32" s="144"/>
      <c r="G32" s="144"/>
    </row>
    <row r="33" spans="1:7" x14ac:dyDescent="0.2">
      <c r="A33" s="144" t="s">
        <v>661</v>
      </c>
      <c r="B33" s="145">
        <v>0.35</v>
      </c>
      <c r="C33" s="145">
        <v>0.35</v>
      </c>
      <c r="D33" s="145">
        <v>0</v>
      </c>
      <c r="E33" s="144"/>
      <c r="F33" s="144"/>
      <c r="G33" s="144"/>
    </row>
    <row r="34" spans="1:7" x14ac:dyDescent="0.2">
      <c r="A34" s="144" t="s">
        <v>662</v>
      </c>
      <c r="B34" s="145">
        <v>0.5</v>
      </c>
      <c r="C34" s="145">
        <v>0.75</v>
      </c>
      <c r="D34" s="145">
        <v>0.25</v>
      </c>
      <c r="E34" s="144" t="s">
        <v>713</v>
      </c>
      <c r="F34" s="144"/>
      <c r="G34" s="144"/>
    </row>
    <row r="35" spans="1:7" x14ac:dyDescent="0.2">
      <c r="A35" s="144" t="s">
        <v>663</v>
      </c>
      <c r="B35" s="145">
        <v>0.375</v>
      </c>
      <c r="C35" s="145">
        <v>0.75</v>
      </c>
      <c r="D35" s="145">
        <v>0.375</v>
      </c>
      <c r="E35" s="144" t="s">
        <v>713</v>
      </c>
      <c r="F35" s="144"/>
      <c r="G35" s="144"/>
    </row>
    <row r="36" spans="1:7" x14ac:dyDescent="0.2">
      <c r="A36" s="144" t="s">
        <v>664</v>
      </c>
      <c r="B36" s="145">
        <v>1</v>
      </c>
      <c r="C36" s="145">
        <v>1.25</v>
      </c>
      <c r="D36" s="145">
        <v>0.25</v>
      </c>
      <c r="E36" s="144" t="s">
        <v>713</v>
      </c>
      <c r="F36" s="144"/>
      <c r="G36" s="144"/>
    </row>
    <row r="37" spans="1:7" x14ac:dyDescent="0.2">
      <c r="A37" s="144" t="s">
        <v>665</v>
      </c>
      <c r="B37" s="145">
        <v>1.5</v>
      </c>
      <c r="C37" s="145">
        <v>2</v>
      </c>
      <c r="D37" s="145">
        <v>0.5</v>
      </c>
      <c r="E37" s="144" t="s">
        <v>713</v>
      </c>
      <c r="F37" s="144"/>
      <c r="G37" s="144"/>
    </row>
    <row r="38" spans="1:7" x14ac:dyDescent="0.2">
      <c r="A38" s="144" t="s">
        <v>666</v>
      </c>
      <c r="B38" s="145">
        <v>2</v>
      </c>
      <c r="C38" s="145">
        <v>3</v>
      </c>
      <c r="D38" s="145">
        <v>1</v>
      </c>
      <c r="E38" s="144" t="s">
        <v>713</v>
      </c>
      <c r="F38" s="144"/>
      <c r="G38" s="144"/>
    </row>
    <row r="39" spans="1:7" x14ac:dyDescent="0.2">
      <c r="A39" s="144" t="s">
        <v>667</v>
      </c>
      <c r="B39" s="145">
        <v>2</v>
      </c>
      <c r="C39" s="145">
        <v>2</v>
      </c>
      <c r="D39" s="145">
        <v>0</v>
      </c>
      <c r="E39" s="144"/>
      <c r="F39" s="144"/>
      <c r="G39" s="144"/>
    </row>
    <row r="40" spans="1:7" x14ac:dyDescent="0.2">
      <c r="A40" s="144" t="s">
        <v>668</v>
      </c>
      <c r="B40" s="145">
        <v>1.5</v>
      </c>
      <c r="C40" s="145">
        <v>2</v>
      </c>
      <c r="D40" s="145">
        <v>0.5</v>
      </c>
      <c r="E40" s="144" t="s">
        <v>713</v>
      </c>
      <c r="F40" s="144"/>
      <c r="G40" s="144"/>
    </row>
    <row r="41" spans="1:7" x14ac:dyDescent="0.2">
      <c r="A41" s="144" t="s">
        <v>669</v>
      </c>
      <c r="B41" s="145">
        <v>0.25</v>
      </c>
      <c r="C41" s="145">
        <v>1</v>
      </c>
      <c r="D41" s="145">
        <v>0.75</v>
      </c>
      <c r="E41" s="144" t="s">
        <v>713</v>
      </c>
      <c r="F41" s="144"/>
      <c r="G41" s="144"/>
    </row>
    <row r="42" spans="1:7" x14ac:dyDescent="0.2">
      <c r="A42" s="144" t="s">
        <v>670</v>
      </c>
      <c r="B42" s="145">
        <v>0.5</v>
      </c>
      <c r="C42" s="145">
        <v>0.625</v>
      </c>
      <c r="D42" s="145">
        <v>0.125</v>
      </c>
      <c r="E42" s="144" t="s">
        <v>713</v>
      </c>
      <c r="F42" s="144"/>
      <c r="G42" s="144"/>
    </row>
    <row r="43" spans="1:7" x14ac:dyDescent="0.2">
      <c r="A43" s="144" t="s">
        <v>671</v>
      </c>
      <c r="B43" s="145">
        <v>2</v>
      </c>
      <c r="C43" s="145">
        <v>2</v>
      </c>
      <c r="D43" s="145">
        <v>0</v>
      </c>
      <c r="E43" s="144"/>
      <c r="F43" s="144"/>
      <c r="G43" s="144"/>
    </row>
    <row r="44" spans="1:7" x14ac:dyDescent="0.2">
      <c r="A44" s="144" t="s">
        <v>672</v>
      </c>
      <c r="B44" s="145">
        <v>1.25</v>
      </c>
      <c r="C44" s="145">
        <v>2</v>
      </c>
      <c r="D44" s="145">
        <v>0.75</v>
      </c>
      <c r="E44" s="144" t="s">
        <v>713</v>
      </c>
      <c r="F44" s="144"/>
      <c r="G44" s="144"/>
    </row>
    <row r="45" spans="1:7" x14ac:dyDescent="0.2">
      <c r="A45" s="144" t="s">
        <v>673</v>
      </c>
      <c r="B45" s="145">
        <v>0.66700000000000004</v>
      </c>
      <c r="C45" s="145">
        <v>0.91700000000000004</v>
      </c>
      <c r="D45" s="145">
        <v>0.25</v>
      </c>
      <c r="E45" s="144" t="s">
        <v>713</v>
      </c>
      <c r="F45" s="144"/>
      <c r="G45" s="144"/>
    </row>
    <row r="46" spans="1:7" x14ac:dyDescent="0.2">
      <c r="A46" s="144" t="s">
        <v>674</v>
      </c>
      <c r="B46" s="145">
        <v>1</v>
      </c>
      <c r="C46" s="145">
        <v>1.25</v>
      </c>
      <c r="D46" s="145">
        <v>0.25</v>
      </c>
      <c r="E46" s="144" t="s">
        <v>713</v>
      </c>
      <c r="F46" s="144"/>
      <c r="G46" s="144"/>
    </row>
    <row r="47" spans="1:7" x14ac:dyDescent="0.2">
      <c r="A47" s="144" t="s">
        <v>675</v>
      </c>
      <c r="B47" s="145">
        <v>0.5</v>
      </c>
      <c r="C47" s="145">
        <v>0.5</v>
      </c>
      <c r="D47" s="145">
        <v>0</v>
      </c>
      <c r="E47" s="144"/>
      <c r="F47" s="144"/>
      <c r="G47" s="144"/>
    </row>
    <row r="48" spans="1:7" x14ac:dyDescent="0.2">
      <c r="A48" s="144" t="s">
        <v>676</v>
      </c>
      <c r="B48" s="145">
        <v>1.5</v>
      </c>
      <c r="C48" s="145">
        <v>1.75</v>
      </c>
      <c r="D48" s="145">
        <v>0.25</v>
      </c>
      <c r="E48" s="144" t="s">
        <v>713</v>
      </c>
      <c r="F48" s="144"/>
      <c r="G48" s="144"/>
    </row>
    <row r="49" spans="1:7" x14ac:dyDescent="0.2">
      <c r="A49" s="144" t="s">
        <v>677</v>
      </c>
      <c r="B49" s="145">
        <v>1.25</v>
      </c>
      <c r="C49" s="145">
        <v>2</v>
      </c>
      <c r="D49" s="145">
        <v>0.75</v>
      </c>
      <c r="E49" s="144" t="s">
        <v>713</v>
      </c>
      <c r="F49" s="144"/>
      <c r="G49" s="144"/>
    </row>
    <row r="50" spans="1:7" x14ac:dyDescent="0.2">
      <c r="A50" s="144" t="s">
        <v>678</v>
      </c>
      <c r="B50" s="145">
        <v>1</v>
      </c>
      <c r="C50" s="145">
        <v>1</v>
      </c>
      <c r="D50" s="145">
        <v>0</v>
      </c>
      <c r="E50" s="144"/>
      <c r="F50" s="144"/>
      <c r="G50" s="144"/>
    </row>
    <row r="51" spans="1:7" x14ac:dyDescent="0.2">
      <c r="A51" s="144" t="s">
        <v>679</v>
      </c>
      <c r="B51" s="145">
        <v>1.75</v>
      </c>
      <c r="C51" s="145">
        <v>0.75</v>
      </c>
      <c r="D51" s="145">
        <v>-1</v>
      </c>
      <c r="E51" s="144" t="s">
        <v>714</v>
      </c>
      <c r="F51" s="144"/>
      <c r="G51" s="144"/>
    </row>
    <row r="52" spans="1:7" x14ac:dyDescent="0.2">
      <c r="A52" s="144" t="s">
        <v>680</v>
      </c>
      <c r="B52" s="145">
        <v>2</v>
      </c>
      <c r="C52" s="145">
        <v>2.5</v>
      </c>
      <c r="D52" s="145">
        <v>0.5</v>
      </c>
      <c r="E52" s="144" t="s">
        <v>713</v>
      </c>
      <c r="F52" s="144"/>
      <c r="G52" s="144"/>
    </row>
    <row r="53" spans="1:7" x14ac:dyDescent="0.2">
      <c r="A53" s="144" t="s">
        <v>681</v>
      </c>
      <c r="B53" s="145">
        <v>0.5</v>
      </c>
      <c r="C53" s="145">
        <v>0.5</v>
      </c>
      <c r="D53" s="145">
        <v>0</v>
      </c>
      <c r="E53" s="144"/>
      <c r="F53" s="144"/>
      <c r="G53" s="144"/>
    </row>
    <row r="54" spans="1:7" x14ac:dyDescent="0.2">
      <c r="A54" s="144" t="s">
        <v>682</v>
      </c>
      <c r="B54" s="145">
        <v>1.5</v>
      </c>
      <c r="C54" s="145">
        <v>1.75</v>
      </c>
      <c r="D54" s="145">
        <v>0.25</v>
      </c>
      <c r="E54" s="144" t="s">
        <v>713</v>
      </c>
      <c r="F54" s="144"/>
      <c r="G54" s="144"/>
    </row>
    <row r="55" spans="1:7" x14ac:dyDescent="0.2">
      <c r="A55" s="144" t="s">
        <v>683</v>
      </c>
      <c r="B55" s="145">
        <v>1.5</v>
      </c>
      <c r="C55" s="145">
        <v>2</v>
      </c>
      <c r="D55" s="145">
        <v>0.5</v>
      </c>
      <c r="E55" s="144" t="s">
        <v>713</v>
      </c>
      <c r="F55" s="144"/>
      <c r="G55" s="144"/>
    </row>
    <row r="56" spans="1:7" x14ac:dyDescent="0.2">
      <c r="A56" s="144" t="s">
        <v>684</v>
      </c>
      <c r="B56" s="145">
        <v>0.25</v>
      </c>
      <c r="C56" s="145">
        <v>1.75</v>
      </c>
      <c r="D56" s="145">
        <v>1.5</v>
      </c>
      <c r="E56" s="144" t="s">
        <v>713</v>
      </c>
      <c r="F56" s="144"/>
      <c r="G56" s="144"/>
    </row>
    <row r="57" spans="1:7" x14ac:dyDescent="0.2">
      <c r="A57" s="144" t="s">
        <v>685</v>
      </c>
      <c r="B57" s="145">
        <v>1.5</v>
      </c>
      <c r="C57" s="145">
        <v>2</v>
      </c>
      <c r="D57" s="145">
        <v>0.5</v>
      </c>
      <c r="E57" s="144" t="s">
        <v>713</v>
      </c>
      <c r="F57" s="144"/>
      <c r="G57" s="144"/>
    </row>
    <row r="58" spans="1:7" x14ac:dyDescent="0.2">
      <c r="A58" s="144" t="s">
        <v>686</v>
      </c>
      <c r="B58" s="145">
        <v>1.375</v>
      </c>
      <c r="C58" s="145">
        <v>1.375</v>
      </c>
      <c r="D58" s="145">
        <v>0</v>
      </c>
      <c r="E58" s="144"/>
      <c r="F58" s="144"/>
      <c r="G58" s="144"/>
    </row>
    <row r="59" spans="1:7" x14ac:dyDescent="0.2">
      <c r="A59" s="144" t="s">
        <v>687</v>
      </c>
      <c r="B59" s="145">
        <v>2</v>
      </c>
      <c r="C59" s="145">
        <v>2</v>
      </c>
      <c r="D59" s="145">
        <v>0</v>
      </c>
      <c r="E59" s="144"/>
      <c r="F59" s="144"/>
      <c r="G59" s="144"/>
    </row>
    <row r="60" spans="1:7" x14ac:dyDescent="0.2">
      <c r="A60" s="144" t="s">
        <v>688</v>
      </c>
      <c r="B60" s="145">
        <v>0.65</v>
      </c>
      <c r="C60" s="145">
        <v>0.65</v>
      </c>
      <c r="D60" s="145">
        <v>0</v>
      </c>
      <c r="E60" s="144"/>
      <c r="F60" s="144"/>
      <c r="G60" s="144"/>
    </row>
    <row r="61" spans="1:7" x14ac:dyDescent="0.2">
      <c r="A61" s="144" t="s">
        <v>689</v>
      </c>
      <c r="B61" s="145">
        <v>1.25</v>
      </c>
      <c r="C61" s="145">
        <v>1.5</v>
      </c>
      <c r="D61" s="145">
        <v>0.25</v>
      </c>
      <c r="E61" s="144" t="s">
        <v>713</v>
      </c>
      <c r="F61" s="144"/>
      <c r="G61" s="144"/>
    </row>
    <row r="62" spans="1:7" x14ac:dyDescent="0.2">
      <c r="A62" s="144" t="s">
        <v>690</v>
      </c>
      <c r="B62" s="145">
        <v>2</v>
      </c>
      <c r="C62" s="145">
        <v>2</v>
      </c>
      <c r="D62" s="145">
        <v>0</v>
      </c>
      <c r="E62" s="144"/>
      <c r="F62" s="144"/>
      <c r="G62" s="144"/>
    </row>
    <row r="63" spans="1:7" x14ac:dyDescent="0.2">
      <c r="A63" s="144" t="s">
        <v>691</v>
      </c>
      <c r="B63" s="145">
        <v>1.25</v>
      </c>
      <c r="C63" s="145">
        <v>2</v>
      </c>
      <c r="D63" s="145">
        <v>0.75</v>
      </c>
      <c r="E63" s="144" t="s">
        <v>713</v>
      </c>
      <c r="F63" s="144"/>
      <c r="G63" s="144"/>
    </row>
    <row r="64" spans="1:7" x14ac:dyDescent="0.2">
      <c r="A64" s="144" t="s">
        <v>114</v>
      </c>
      <c r="B64" s="144"/>
      <c r="C64" s="145">
        <v>0</v>
      </c>
      <c r="D64" s="145">
        <v>0</v>
      </c>
      <c r="E64" s="144"/>
      <c r="F64" s="144"/>
      <c r="G64" s="144"/>
    </row>
    <row r="65" spans="1:7" x14ac:dyDescent="0.2">
      <c r="A65" s="144" t="s">
        <v>692</v>
      </c>
      <c r="B65" s="145">
        <v>1</v>
      </c>
      <c r="C65" s="145">
        <v>1.583</v>
      </c>
      <c r="D65" s="145">
        <v>0.58299999999999996</v>
      </c>
      <c r="E65" s="144" t="s">
        <v>713</v>
      </c>
      <c r="F65" s="144"/>
      <c r="G65" s="144"/>
    </row>
    <row r="66" spans="1:7" x14ac:dyDescent="0.2">
      <c r="A66" s="144" t="s">
        <v>693</v>
      </c>
      <c r="B66" s="145">
        <v>1.25</v>
      </c>
      <c r="C66" s="145">
        <v>1.25</v>
      </c>
      <c r="D66" s="145">
        <v>0</v>
      </c>
      <c r="E66" s="144"/>
      <c r="F66" s="144"/>
      <c r="G66" s="144"/>
    </row>
    <row r="67" spans="1:7" x14ac:dyDescent="0.2">
      <c r="A67" s="144" t="s">
        <v>694</v>
      </c>
      <c r="B67" s="145">
        <v>1.35</v>
      </c>
      <c r="C67" s="145">
        <v>1.35</v>
      </c>
      <c r="D67" s="145">
        <v>0</v>
      </c>
      <c r="E67" s="144"/>
      <c r="F67" s="144"/>
      <c r="G67" s="144"/>
    </row>
    <row r="68" spans="1:7" x14ac:dyDescent="0.2">
      <c r="A68" s="144" t="s">
        <v>695</v>
      </c>
      <c r="B68" s="145">
        <v>2</v>
      </c>
      <c r="C68" s="145">
        <v>2</v>
      </c>
      <c r="D68" s="145">
        <v>0</v>
      </c>
      <c r="E68" s="144"/>
      <c r="F68" s="144"/>
      <c r="G68" s="144"/>
    </row>
    <row r="69" spans="1:7" x14ac:dyDescent="0.2">
      <c r="A69" s="144" t="s">
        <v>696</v>
      </c>
      <c r="B69" s="145">
        <v>0.75</v>
      </c>
      <c r="C69" s="145">
        <v>0.81299999999999994</v>
      </c>
      <c r="D69" s="145">
        <v>6.3E-2</v>
      </c>
      <c r="E69" s="144" t="s">
        <v>713</v>
      </c>
      <c r="F69" s="144"/>
      <c r="G69" s="144"/>
    </row>
    <row r="70" spans="1:7" x14ac:dyDescent="0.2">
      <c r="A70" s="144" t="s">
        <v>697</v>
      </c>
      <c r="B70" s="145">
        <v>1</v>
      </c>
      <c r="C70" s="145">
        <v>1.5</v>
      </c>
      <c r="D70" s="145">
        <v>0.5</v>
      </c>
      <c r="E70" s="144" t="s">
        <v>713</v>
      </c>
      <c r="F70" s="144"/>
      <c r="G70" s="144"/>
    </row>
    <row r="71" spans="1:7" x14ac:dyDescent="0.2">
      <c r="A71" s="144" t="s">
        <v>698</v>
      </c>
      <c r="B71" s="145">
        <v>0.6875</v>
      </c>
      <c r="C71" s="145">
        <v>0.875</v>
      </c>
      <c r="D71" s="145">
        <v>0.1875</v>
      </c>
      <c r="E71" s="144" t="s">
        <v>713</v>
      </c>
      <c r="F71" s="144"/>
      <c r="G71" s="144"/>
    </row>
    <row r="72" spans="1:7" x14ac:dyDescent="0.2">
      <c r="A72" s="144" t="s">
        <v>699</v>
      </c>
      <c r="B72" s="145">
        <v>1</v>
      </c>
      <c r="C72" s="145">
        <v>1.4950000000000001</v>
      </c>
      <c r="D72" s="145">
        <v>0.495</v>
      </c>
      <c r="E72" s="144" t="s">
        <v>713</v>
      </c>
      <c r="F72" s="144"/>
      <c r="G72" s="144"/>
    </row>
    <row r="73" spans="1:7" x14ac:dyDescent="0.2">
      <c r="A73" s="144" t="s">
        <v>700</v>
      </c>
      <c r="B73" s="145">
        <v>2</v>
      </c>
      <c r="C73" s="145">
        <v>2</v>
      </c>
      <c r="D73" s="145">
        <v>0</v>
      </c>
      <c r="E73" s="144"/>
      <c r="F73" s="144"/>
      <c r="G73" s="144"/>
    </row>
    <row r="74" spans="1:7" x14ac:dyDescent="0.2">
      <c r="A74" s="144" t="s">
        <v>701</v>
      </c>
      <c r="B74" s="145">
        <v>1.5</v>
      </c>
      <c r="C74" s="145">
        <v>1.5</v>
      </c>
      <c r="D74" s="145">
        <v>0</v>
      </c>
      <c r="E74" s="144"/>
      <c r="F74" s="144"/>
      <c r="G74" s="144"/>
    </row>
    <row r="75" spans="1:7" x14ac:dyDescent="0.2">
      <c r="A75" s="144" t="s">
        <v>702</v>
      </c>
      <c r="B75" s="145">
        <v>1.5</v>
      </c>
      <c r="C75" s="145">
        <v>1.833</v>
      </c>
      <c r="D75" s="145">
        <v>0.33300000000000002</v>
      </c>
      <c r="E75" s="144" t="s">
        <v>713</v>
      </c>
      <c r="F75" s="144"/>
      <c r="G75" s="144"/>
    </row>
    <row r="76" spans="1:7" x14ac:dyDescent="0.2">
      <c r="A76" s="144" t="s">
        <v>703</v>
      </c>
      <c r="B76" s="145">
        <v>1.25</v>
      </c>
      <c r="C76" s="145">
        <v>1.25</v>
      </c>
      <c r="D76" s="145">
        <v>0</v>
      </c>
      <c r="E76" s="144"/>
      <c r="F76" s="144"/>
      <c r="G76" s="144"/>
    </row>
    <row r="77" spans="1:7" x14ac:dyDescent="0.2">
      <c r="A77" s="144" t="s">
        <v>704</v>
      </c>
      <c r="B77" s="145">
        <v>1.417</v>
      </c>
      <c r="C77" s="145">
        <v>1.417</v>
      </c>
      <c r="D77" s="145">
        <v>0</v>
      </c>
      <c r="E77" s="144"/>
      <c r="F77" s="144"/>
      <c r="G77" s="144"/>
    </row>
    <row r="78" spans="1:7" x14ac:dyDescent="0.2">
      <c r="A78" s="144" t="s">
        <v>705</v>
      </c>
      <c r="B78" s="145">
        <v>0.55000000000000004</v>
      </c>
      <c r="C78" s="145">
        <v>0.7</v>
      </c>
      <c r="D78" s="145">
        <v>0.15</v>
      </c>
      <c r="E78" s="144" t="s">
        <v>713</v>
      </c>
      <c r="F78" s="144"/>
      <c r="G78" s="144"/>
    </row>
    <row r="79" spans="1:7" x14ac:dyDescent="0.2">
      <c r="A79" s="144" t="s">
        <v>122</v>
      </c>
      <c r="B79" s="145">
        <v>1</v>
      </c>
      <c r="C79" s="145">
        <v>1.45</v>
      </c>
      <c r="D79" s="145">
        <v>0.45</v>
      </c>
      <c r="E79" s="144" t="s">
        <v>713</v>
      </c>
      <c r="F79" s="144"/>
      <c r="G79" s="144"/>
    </row>
    <row r="80" spans="1:7" x14ac:dyDescent="0.2">
      <c r="A80" s="144" t="s">
        <v>706</v>
      </c>
      <c r="B80" s="145">
        <v>1.5</v>
      </c>
      <c r="C80" s="145">
        <v>2</v>
      </c>
      <c r="D80" s="145">
        <v>0.5</v>
      </c>
      <c r="E80" s="144" t="s">
        <v>713</v>
      </c>
      <c r="F80" s="144"/>
      <c r="G80" s="144"/>
    </row>
    <row r="81" spans="1:7" x14ac:dyDescent="0.2">
      <c r="A81" s="144" t="s">
        <v>707</v>
      </c>
      <c r="B81" s="145">
        <v>1.0169999999999999</v>
      </c>
      <c r="C81" s="145">
        <v>0.36699999999999999</v>
      </c>
      <c r="D81" s="145">
        <v>-0.65</v>
      </c>
      <c r="E81" s="144" t="s">
        <v>714</v>
      </c>
      <c r="F81" s="144"/>
      <c r="G81" s="144"/>
    </row>
    <row r="82" spans="1:7" x14ac:dyDescent="0.2">
      <c r="A82" s="144" t="s">
        <v>708</v>
      </c>
      <c r="B82" s="145">
        <v>1.3</v>
      </c>
      <c r="C82" s="145">
        <v>1.3</v>
      </c>
      <c r="D82" s="145">
        <v>0</v>
      </c>
      <c r="E82" s="144"/>
      <c r="F82" s="144"/>
      <c r="G82" s="144"/>
    </row>
    <row r="83" spans="1:7" x14ac:dyDescent="0.2">
      <c r="A83" s="144" t="s">
        <v>127</v>
      </c>
      <c r="B83" s="145">
        <v>1</v>
      </c>
      <c r="C83" s="145">
        <v>1</v>
      </c>
      <c r="D83" s="145">
        <v>0</v>
      </c>
      <c r="E83" s="144"/>
      <c r="F83" s="144"/>
      <c r="G83" s="144"/>
    </row>
    <row r="84" spans="1:7" x14ac:dyDescent="0.2">
      <c r="A84" s="144" t="s">
        <v>709</v>
      </c>
      <c r="B84" s="145">
        <v>1.875</v>
      </c>
      <c r="C84" s="145">
        <v>2</v>
      </c>
      <c r="D84" s="145">
        <v>0.125</v>
      </c>
      <c r="E84" s="144" t="s">
        <v>713</v>
      </c>
      <c r="F84" s="144"/>
      <c r="G84" s="144"/>
    </row>
    <row r="85" spans="1:7" x14ac:dyDescent="0.2">
      <c r="A85" s="144" t="s">
        <v>710</v>
      </c>
      <c r="B85" s="145">
        <v>0.5</v>
      </c>
      <c r="C85" s="145">
        <v>0.5</v>
      </c>
      <c r="D85" s="145">
        <v>0</v>
      </c>
      <c r="E85" s="144"/>
      <c r="F85" s="144"/>
      <c r="G85" s="144"/>
    </row>
    <row r="86" spans="1:7" x14ac:dyDescent="0.2">
      <c r="A86" s="144" t="s">
        <v>711</v>
      </c>
      <c r="B86" s="145">
        <v>0.82499999999999996</v>
      </c>
      <c r="C86" s="145">
        <v>0.9</v>
      </c>
      <c r="D86" s="145">
        <v>7.4999999999999997E-2</v>
      </c>
      <c r="E86" s="144" t="s">
        <v>713</v>
      </c>
      <c r="F86" s="144"/>
      <c r="G86" s="144"/>
    </row>
    <row r="87" spans="1:7" x14ac:dyDescent="0.2">
      <c r="A87" s="144"/>
      <c r="B87" s="144"/>
      <c r="C87" s="144"/>
      <c r="D87" s="144"/>
      <c r="E87" s="144"/>
      <c r="F87" s="144"/>
      <c r="G87" s="144"/>
    </row>
    <row r="88" spans="1:7" x14ac:dyDescent="0.2">
      <c r="A88" s="144"/>
      <c r="B88" s="144"/>
      <c r="C88" s="144"/>
      <c r="D88" s="145"/>
      <c r="E88" s="144"/>
      <c r="F88" s="144"/>
      <c r="G88" s="144"/>
    </row>
  </sheetData>
  <hyperlinks>
    <hyperlink ref="A7" r:id="rId1"/>
    <hyperlink ref="H1" location="Index!A1" display="Return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workbookViewId="0">
      <selection activeCell="H1" sqref="H1"/>
    </sheetView>
  </sheetViews>
  <sheetFormatPr defaultRowHeight="12.75" x14ac:dyDescent="0.2"/>
  <cols>
    <col min="5" max="7" width="11.42578125" bestFit="1" customWidth="1"/>
    <col min="9" max="9" width="11.42578125" bestFit="1" customWidth="1"/>
    <col min="11" max="11" width="11.42578125" bestFit="1" customWidth="1"/>
    <col min="13" max="13" width="12.42578125" bestFit="1" customWidth="1"/>
    <col min="15" max="15" width="12.42578125" bestFit="1" customWidth="1"/>
    <col min="17" max="17" width="14.140625" bestFit="1" customWidth="1"/>
    <col min="18" max="18" width="12.42578125" bestFit="1" customWidth="1"/>
    <col min="19" max="34" width="17.7109375" customWidth="1"/>
  </cols>
  <sheetData>
    <row r="1" spans="1:26" x14ac:dyDescent="0.2">
      <c r="A1" s="32" t="s">
        <v>162</v>
      </c>
      <c r="B1">
        <v>2</v>
      </c>
      <c r="H1" s="48" t="s">
        <v>3630</v>
      </c>
    </row>
    <row r="2" spans="1:26" x14ac:dyDescent="0.2">
      <c r="A2" s="32" t="s">
        <v>549</v>
      </c>
      <c r="B2">
        <v>2</v>
      </c>
    </row>
    <row r="4" spans="1:26" x14ac:dyDescent="0.2">
      <c r="A4" s="32" t="s">
        <v>3157</v>
      </c>
    </row>
    <row r="5" spans="1:26" x14ac:dyDescent="0.2">
      <c r="A5" s="32" t="s">
        <v>135</v>
      </c>
      <c r="B5" s="32" t="s">
        <v>3613</v>
      </c>
      <c r="P5" s="48" t="s">
        <v>138</v>
      </c>
    </row>
    <row r="6" spans="1:26" x14ac:dyDescent="0.2">
      <c r="T6" s="32" t="s">
        <v>3165</v>
      </c>
    </row>
    <row r="7" spans="1:26" ht="102.75" x14ac:dyDescent="0.25">
      <c r="C7" s="113" t="s">
        <v>63</v>
      </c>
      <c r="D7" s="113" t="s">
        <v>61</v>
      </c>
      <c r="E7" s="203" t="s">
        <v>3142</v>
      </c>
      <c r="F7" s="204" t="s">
        <v>3143</v>
      </c>
      <c r="G7" s="203" t="s">
        <v>3158</v>
      </c>
      <c r="H7" s="204" t="s">
        <v>3159</v>
      </c>
      <c r="I7" s="203" t="s">
        <v>3160</v>
      </c>
      <c r="J7" s="204" t="s">
        <v>3161</v>
      </c>
      <c r="K7" s="203" t="s">
        <v>3162</v>
      </c>
      <c r="L7" s="204" t="s">
        <v>3163</v>
      </c>
      <c r="M7" s="203" t="s">
        <v>3145</v>
      </c>
      <c r="N7" s="202" t="s">
        <v>3146</v>
      </c>
      <c r="O7" s="205" t="s">
        <v>3147</v>
      </c>
      <c r="P7" s="202" t="s">
        <v>3148</v>
      </c>
      <c r="Q7" s="205" t="s">
        <v>3149</v>
      </c>
      <c r="R7" s="202" t="s">
        <v>3150</v>
      </c>
      <c r="S7" s="206" t="s">
        <v>3164</v>
      </c>
      <c r="T7" s="112" t="s">
        <v>37</v>
      </c>
      <c r="U7" s="112" t="s">
        <v>170</v>
      </c>
      <c r="V7" s="112" t="s">
        <v>39</v>
      </c>
      <c r="W7" s="112" t="s">
        <v>171</v>
      </c>
      <c r="X7" s="112" t="s">
        <v>41</v>
      </c>
      <c r="Y7" s="112" t="s">
        <v>42</v>
      </c>
      <c r="Z7" s="112" t="s">
        <v>3155</v>
      </c>
    </row>
    <row r="8" spans="1:26" ht="15" customHeight="1" x14ac:dyDescent="0.2">
      <c r="C8" s="131" t="s">
        <v>3099</v>
      </c>
      <c r="D8" s="131">
        <v>2018</v>
      </c>
      <c r="E8" s="187">
        <v>12000</v>
      </c>
      <c r="F8" s="131">
        <v>13.2</v>
      </c>
      <c r="G8" s="187">
        <v>26100</v>
      </c>
      <c r="H8" s="131">
        <v>11.2</v>
      </c>
      <c r="I8" s="187">
        <v>43700</v>
      </c>
      <c r="J8" s="131">
        <v>10.7</v>
      </c>
      <c r="K8" s="56">
        <v>71800</v>
      </c>
      <c r="L8" s="131">
        <v>9.8000000000000007</v>
      </c>
      <c r="M8" s="56">
        <v>127900</v>
      </c>
      <c r="N8" s="131">
        <v>8.6</v>
      </c>
      <c r="O8" s="56">
        <v>278600</v>
      </c>
      <c r="P8" s="131">
        <v>7.4</v>
      </c>
      <c r="Q8" s="56">
        <v>1135300</v>
      </c>
      <c r="R8" s="131">
        <v>6.2</v>
      </c>
      <c r="S8" s="207">
        <f>0.2*F8+0.2*H8+0.2*J8+0.2*L8+0.15*N8+0.04*P8+0.01*R8</f>
        <v>10.627999999999998</v>
      </c>
      <c r="T8" s="57">
        <f>(S8-F8)/100*E8</f>
        <v>-308.6400000000001</v>
      </c>
      <c r="U8" s="57">
        <f>(S8-H8)/100*G8</f>
        <v>-149.29200000000026</v>
      </c>
      <c r="V8" s="57">
        <f>+(S8-J8)/100*I8</f>
        <v>-31.464000000000414</v>
      </c>
      <c r="W8" s="57">
        <f>(S8-L8)/100*K8</f>
        <v>594.50399999999831</v>
      </c>
      <c r="X8" s="57">
        <f>(S8-N8)/100*M8</f>
        <v>2593.8119999999981</v>
      </c>
      <c r="Y8" s="57">
        <f>(S8-P8)/100*O8</f>
        <v>8993.2079999999951</v>
      </c>
      <c r="Z8" s="57">
        <f>(S8-R8)/100*Q8</f>
        <v>50271.083999999973</v>
      </c>
    </row>
    <row r="9" spans="1:26" ht="15" customHeight="1" x14ac:dyDescent="0.2">
      <c r="C9" t="s">
        <v>3444</v>
      </c>
      <c r="F9" s="237">
        <f>+F8*E8*0.01</f>
        <v>1584</v>
      </c>
      <c r="R9">
        <f>+Q8*R8/100</f>
        <v>70388.600000000006</v>
      </c>
    </row>
    <row r="10" spans="1:26" ht="15" customHeight="1" x14ac:dyDescent="0.2">
      <c r="C10" t="s">
        <v>3445</v>
      </c>
      <c r="F10" s="42">
        <f>+E8*S8/100</f>
        <v>1275.3599999999999</v>
      </c>
      <c r="R10" s="57">
        <f>+Q8*S8/100</f>
        <v>120659.68399999998</v>
      </c>
      <c r="T10" s="208"/>
    </row>
    <row r="11" spans="1:26" ht="15" customHeight="1" x14ac:dyDescent="0.2">
      <c r="F11" s="208">
        <f>+F9-F10</f>
        <v>308.6400000000001</v>
      </c>
      <c r="R11" s="43">
        <f>+R9-R10</f>
        <v>-50271.083999999973</v>
      </c>
      <c r="T11" s="208"/>
    </row>
    <row r="12" spans="1:26" ht="15" customHeight="1" x14ac:dyDescent="0.2"/>
    <row r="13" spans="1:26" ht="15" customHeight="1" x14ac:dyDescent="0.2"/>
    <row r="14" spans="1:26" ht="15" customHeight="1" x14ac:dyDescent="0.2"/>
    <row r="15" spans="1:26" ht="15" customHeight="1" x14ac:dyDescent="0.2"/>
    <row r="16" spans="1:2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hyperlinks>
    <hyperlink ref="P5" r:id="rId1"/>
    <hyperlink ref="H1" location="Index!A1" display="Return to 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1"/>
  <sheetViews>
    <sheetView workbookViewId="0">
      <selection activeCell="H1" sqref="H1"/>
    </sheetView>
  </sheetViews>
  <sheetFormatPr defaultRowHeight="12.75" x14ac:dyDescent="0.2"/>
  <cols>
    <col min="1" max="1" width="11.7109375" customWidth="1"/>
    <col min="2" max="2" width="26.28515625" customWidth="1"/>
    <col min="3" max="18" width="11.7109375" customWidth="1"/>
  </cols>
  <sheetData>
    <row r="1" spans="1:112" x14ac:dyDescent="0.2">
      <c r="A1" s="32" t="s">
        <v>162</v>
      </c>
      <c r="B1" s="211">
        <v>2</v>
      </c>
      <c r="H1" s="48" t="s">
        <v>3630</v>
      </c>
    </row>
    <row r="2" spans="1:112" x14ac:dyDescent="0.2">
      <c r="A2" s="32" t="s">
        <v>163</v>
      </c>
      <c r="B2" s="211">
        <v>9</v>
      </c>
    </row>
    <row r="3" spans="1:112" x14ac:dyDescent="0.2">
      <c r="A3" t="s">
        <v>3171</v>
      </c>
    </row>
    <row r="4" spans="1:112" x14ac:dyDescent="0.2">
      <c r="A4" t="s">
        <v>135</v>
      </c>
      <c r="B4" t="s">
        <v>296</v>
      </c>
    </row>
    <row r="5" spans="1:112" x14ac:dyDescent="0.2">
      <c r="H5" s="32" t="s">
        <v>245</v>
      </c>
      <c r="L5" s="32" t="s">
        <v>623</v>
      </c>
      <c r="P5" s="32" t="s">
        <v>44</v>
      </c>
    </row>
    <row r="6" spans="1:112" ht="15.75" thickBot="1" x14ac:dyDescent="0.3">
      <c r="A6" s="763" t="s">
        <v>3172</v>
      </c>
      <c r="B6" s="763"/>
      <c r="C6" s="738"/>
      <c r="D6" s="764" t="s">
        <v>3173</v>
      </c>
      <c r="E6" s="764"/>
      <c r="F6" s="764"/>
      <c r="G6" s="159"/>
      <c r="H6" s="764" t="s">
        <v>3174</v>
      </c>
      <c r="I6" s="764"/>
      <c r="J6" s="764"/>
      <c r="K6" s="159"/>
      <c r="L6" s="764" t="s">
        <v>3175</v>
      </c>
      <c r="M6" s="764"/>
      <c r="N6" s="764"/>
      <c r="O6" s="159"/>
      <c r="P6" s="764" t="s">
        <v>3176</v>
      </c>
      <c r="Q6" s="764"/>
      <c r="R6" s="764"/>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7"/>
      <c r="CD6" s="687"/>
      <c r="CE6" s="687"/>
      <c r="CF6" s="687"/>
      <c r="CG6" s="687"/>
      <c r="CH6" s="687"/>
      <c r="CI6" s="687"/>
      <c r="CJ6" s="687"/>
      <c r="CK6" s="687"/>
      <c r="CL6" s="687"/>
      <c r="CM6" s="687"/>
      <c r="CN6" s="687"/>
      <c r="CO6" s="687"/>
      <c r="CP6" s="687"/>
      <c r="CQ6" s="687"/>
      <c r="CR6" s="687"/>
      <c r="CS6" s="687"/>
      <c r="CT6" s="687"/>
      <c r="CU6" s="687"/>
      <c r="CV6" s="687"/>
      <c r="CW6" s="687"/>
      <c r="CX6" s="687"/>
      <c r="CY6" s="687"/>
      <c r="CZ6" s="687"/>
      <c r="DA6" s="687"/>
      <c r="DB6" s="687"/>
      <c r="DC6" s="687"/>
      <c r="DD6" s="687"/>
      <c r="DE6" s="687"/>
      <c r="DF6" s="687"/>
      <c r="DG6" s="687"/>
      <c r="DH6" s="687"/>
    </row>
    <row r="7" spans="1:112" ht="60" x14ac:dyDescent="0.25">
      <c r="A7" s="763"/>
      <c r="B7" s="763"/>
      <c r="C7" s="738"/>
      <c r="D7" s="739" t="s">
        <v>3177</v>
      </c>
      <c r="E7" s="740" t="s">
        <v>3178</v>
      </c>
      <c r="F7" s="740" t="s">
        <v>3179</v>
      </c>
      <c r="G7" s="159"/>
      <c r="H7" s="739" t="s">
        <v>3177</v>
      </c>
      <c r="I7" s="740" t="s">
        <v>3178</v>
      </c>
      <c r="J7" s="740" t="s">
        <v>3179</v>
      </c>
      <c r="K7" s="159"/>
      <c r="L7" s="739" t="s">
        <v>3177</v>
      </c>
      <c r="M7" s="740" t="s">
        <v>3178</v>
      </c>
      <c r="N7" s="740" t="s">
        <v>3179</v>
      </c>
      <c r="O7" s="159"/>
      <c r="P7" s="739" t="s">
        <v>3177</v>
      </c>
      <c r="Q7" s="740" t="s">
        <v>3178</v>
      </c>
      <c r="R7" s="740" t="s">
        <v>3179</v>
      </c>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7"/>
      <c r="BJ7" s="687"/>
      <c r="BK7" s="687"/>
      <c r="BL7" s="687"/>
      <c r="BM7" s="687"/>
      <c r="BN7" s="687"/>
      <c r="BO7" s="687"/>
      <c r="BP7" s="687"/>
      <c r="BQ7" s="687"/>
      <c r="BR7" s="687"/>
      <c r="BS7" s="687"/>
      <c r="BT7" s="687"/>
      <c r="BU7" s="687"/>
      <c r="BV7" s="687"/>
      <c r="BW7" s="687"/>
      <c r="BX7" s="687"/>
      <c r="BY7" s="687"/>
      <c r="BZ7" s="687"/>
      <c r="CA7" s="687"/>
      <c r="CB7" s="687"/>
      <c r="CC7" s="687"/>
      <c r="CD7" s="687"/>
      <c r="CE7" s="687"/>
      <c r="CF7" s="687"/>
      <c r="CG7" s="687"/>
      <c r="CH7" s="687"/>
      <c r="CI7" s="687"/>
      <c r="CJ7" s="687"/>
      <c r="CK7" s="687"/>
      <c r="CL7" s="687"/>
      <c r="CM7" s="687"/>
      <c r="CN7" s="687"/>
      <c r="CO7" s="687"/>
      <c r="CP7" s="687"/>
      <c r="CQ7" s="687"/>
      <c r="CR7" s="687"/>
      <c r="CS7" s="687"/>
      <c r="CT7" s="687"/>
      <c r="CU7" s="687"/>
      <c r="CV7" s="687"/>
      <c r="CW7" s="687"/>
      <c r="CX7" s="687"/>
      <c r="CY7" s="687"/>
      <c r="CZ7" s="687"/>
      <c r="DA7" s="687"/>
      <c r="DB7" s="687"/>
      <c r="DC7" s="687"/>
      <c r="DD7" s="687"/>
      <c r="DE7" s="687"/>
      <c r="DF7" s="687"/>
      <c r="DG7" s="687"/>
      <c r="DH7" s="687"/>
    </row>
    <row r="8" spans="1:112" ht="15" x14ac:dyDescent="0.25">
      <c r="A8" s="159" t="s">
        <v>114</v>
      </c>
      <c r="B8" s="741" t="s">
        <v>3180</v>
      </c>
      <c r="C8" s="159"/>
      <c r="D8" s="742">
        <v>8.7999999999999995E-2</v>
      </c>
      <c r="E8" s="743" t="s">
        <v>503</v>
      </c>
      <c r="F8" s="743">
        <v>1.1494252873563229E-2</v>
      </c>
      <c r="G8" s="682"/>
      <c r="H8" s="742">
        <v>4.1000000000000002E-2</v>
      </c>
      <c r="I8" s="743" t="s">
        <v>503</v>
      </c>
      <c r="J8" s="743">
        <v>2.5000000000000022E-2</v>
      </c>
      <c r="K8" s="682"/>
      <c r="L8" s="742">
        <v>1.9E-2</v>
      </c>
      <c r="M8" s="743" t="s">
        <v>503</v>
      </c>
      <c r="N8" s="743">
        <v>0</v>
      </c>
      <c r="O8" s="744"/>
      <c r="P8" s="742">
        <v>2.8000000000000001E-2</v>
      </c>
      <c r="Q8" s="743" t="s">
        <v>503</v>
      </c>
      <c r="R8" s="743">
        <v>-3.4482758620689682E-2</v>
      </c>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687"/>
      <c r="BJ8" s="687"/>
      <c r="BK8" s="687"/>
      <c r="BL8" s="687"/>
      <c r="BM8" s="687"/>
      <c r="BN8" s="687"/>
      <c r="BO8" s="687"/>
      <c r="BP8" s="687"/>
      <c r="BQ8" s="687"/>
      <c r="BR8" s="687"/>
      <c r="BS8" s="687"/>
      <c r="BT8" s="687"/>
      <c r="BU8" s="687"/>
      <c r="BV8" s="687"/>
      <c r="BW8" s="687"/>
      <c r="BX8" s="687"/>
      <c r="BY8" s="687"/>
      <c r="BZ8" s="687"/>
      <c r="CA8" s="687"/>
      <c r="CB8" s="687"/>
      <c r="CC8" s="687"/>
      <c r="CD8" s="687"/>
      <c r="CE8" s="687"/>
      <c r="CF8" s="687"/>
      <c r="CG8" s="687"/>
      <c r="CH8" s="687"/>
      <c r="CI8" s="687"/>
      <c r="CJ8" s="687"/>
      <c r="CK8" s="687"/>
      <c r="CL8" s="687"/>
      <c r="CM8" s="687"/>
      <c r="CN8" s="687"/>
      <c r="CO8" s="687"/>
      <c r="CP8" s="687"/>
      <c r="CQ8" s="687"/>
      <c r="CR8" s="687"/>
      <c r="CS8" s="687"/>
      <c r="CT8" s="687"/>
      <c r="CU8" s="687"/>
      <c r="CV8" s="687"/>
      <c r="CW8" s="687"/>
      <c r="CX8" s="687"/>
      <c r="CY8" s="687"/>
      <c r="CZ8" s="687"/>
      <c r="DA8" s="687"/>
      <c r="DB8" s="687"/>
      <c r="DC8" s="687"/>
      <c r="DD8" s="687"/>
      <c r="DE8" s="687"/>
      <c r="DF8" s="687"/>
      <c r="DG8" s="687"/>
      <c r="DH8" s="687"/>
    </row>
    <row r="9" spans="1:112" ht="14.25" x14ac:dyDescent="0.2">
      <c r="A9" s="159" t="s">
        <v>114</v>
      </c>
      <c r="B9" s="741" t="s">
        <v>564</v>
      </c>
      <c r="C9" s="159"/>
      <c r="D9" s="744">
        <v>8.6999999999999994E-2</v>
      </c>
      <c r="E9" s="743">
        <v>-1.1363636363636374E-2</v>
      </c>
      <c r="F9" s="743" t="s">
        <v>503</v>
      </c>
      <c r="G9" s="682"/>
      <c r="H9" s="744">
        <v>0.04</v>
      </c>
      <c r="I9" s="743">
        <v>-2.4390243902439046E-2</v>
      </c>
      <c r="J9" s="743" t="s">
        <v>503</v>
      </c>
      <c r="K9" s="682"/>
      <c r="L9" s="744">
        <v>1.9E-2</v>
      </c>
      <c r="M9" s="743">
        <v>0</v>
      </c>
      <c r="N9" s="743" t="s">
        <v>503</v>
      </c>
      <c r="O9" s="744"/>
      <c r="P9" s="744">
        <v>2.9000000000000001E-2</v>
      </c>
      <c r="Q9" s="743">
        <v>3.5714285714285747E-2</v>
      </c>
      <c r="R9" s="743" t="s">
        <v>503</v>
      </c>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7"/>
      <c r="AZ9" s="687"/>
      <c r="BA9" s="687"/>
      <c r="BB9" s="687"/>
      <c r="BC9" s="687"/>
      <c r="BD9" s="687"/>
      <c r="BE9" s="687"/>
      <c r="BF9" s="687"/>
      <c r="BG9" s="687"/>
      <c r="BH9" s="687"/>
      <c r="BI9" s="687"/>
      <c r="BJ9" s="687"/>
      <c r="BK9" s="687"/>
      <c r="BL9" s="687"/>
      <c r="BM9" s="687"/>
      <c r="BN9" s="687"/>
      <c r="BO9" s="687"/>
      <c r="BP9" s="687"/>
      <c r="BQ9" s="687"/>
      <c r="BR9" s="687"/>
      <c r="BS9" s="687"/>
      <c r="BT9" s="687"/>
      <c r="BU9" s="687"/>
      <c r="BV9" s="687"/>
      <c r="BW9" s="687"/>
      <c r="BX9" s="687"/>
      <c r="BY9" s="687"/>
      <c r="BZ9" s="687"/>
      <c r="CA9" s="687"/>
      <c r="CB9" s="687"/>
      <c r="CC9" s="687"/>
      <c r="CD9" s="687"/>
      <c r="CE9" s="687"/>
      <c r="CF9" s="687"/>
      <c r="CG9" s="687"/>
      <c r="CH9" s="687"/>
      <c r="CI9" s="687"/>
      <c r="CJ9" s="687"/>
      <c r="CK9" s="687"/>
      <c r="CL9" s="687"/>
      <c r="CM9" s="687"/>
      <c r="CN9" s="687"/>
      <c r="CO9" s="687"/>
      <c r="CP9" s="687"/>
      <c r="CQ9" s="687"/>
      <c r="CR9" s="687"/>
      <c r="CS9" s="687"/>
      <c r="CT9" s="687"/>
      <c r="CU9" s="687"/>
      <c r="CV9" s="687"/>
      <c r="CW9" s="687"/>
      <c r="CX9" s="687"/>
      <c r="CY9" s="687"/>
      <c r="CZ9" s="687"/>
      <c r="DA9" s="687"/>
      <c r="DB9" s="687"/>
      <c r="DC9" s="687"/>
      <c r="DD9" s="687"/>
      <c r="DE9" s="687"/>
      <c r="DF9" s="687"/>
      <c r="DG9" s="687"/>
      <c r="DH9" s="687"/>
    </row>
    <row r="10" spans="1:112" ht="14.25" x14ac:dyDescent="0.2">
      <c r="A10" s="159" t="s">
        <v>114</v>
      </c>
      <c r="B10" s="745" t="s">
        <v>3628</v>
      </c>
      <c r="C10" s="159"/>
      <c r="D10" s="744">
        <v>8.8999999999999996E-2</v>
      </c>
      <c r="E10" s="743">
        <v>1.1363636363636374E-2</v>
      </c>
      <c r="F10" s="743">
        <v>2.2988505747126457E-2</v>
      </c>
      <c r="G10" s="682"/>
      <c r="H10" s="744">
        <v>4.7E-2</v>
      </c>
      <c r="I10" s="743">
        <v>0.14634146341463411</v>
      </c>
      <c r="J10" s="743">
        <v>0.17499999999999999</v>
      </c>
      <c r="K10" s="682"/>
      <c r="L10" s="744">
        <v>1.7000000000000001E-2</v>
      </c>
      <c r="M10" s="743">
        <v>-0.10526315789473675</v>
      </c>
      <c r="N10" s="743">
        <v>-0.10526315789473675</v>
      </c>
      <c r="O10" s="744"/>
      <c r="P10" s="744">
        <v>2.4E-2</v>
      </c>
      <c r="Q10" s="743">
        <v>-0.14285714285714285</v>
      </c>
      <c r="R10" s="743">
        <v>-0.17241379310344829</v>
      </c>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687"/>
      <c r="BC10" s="687"/>
      <c r="BD10" s="687"/>
      <c r="BE10" s="687"/>
      <c r="BF10" s="687"/>
      <c r="BG10" s="687"/>
      <c r="BH10" s="687"/>
      <c r="BI10" s="687"/>
      <c r="BJ10" s="687"/>
      <c r="BK10" s="687"/>
      <c r="BL10" s="687"/>
      <c r="BM10" s="687"/>
      <c r="BN10" s="687"/>
      <c r="BO10" s="687"/>
      <c r="BP10" s="687"/>
      <c r="BQ10" s="687"/>
      <c r="BR10" s="687"/>
      <c r="BS10" s="687"/>
      <c r="BT10" s="687"/>
      <c r="BU10" s="687"/>
      <c r="BV10" s="687"/>
      <c r="BW10" s="687"/>
      <c r="BX10" s="687"/>
      <c r="BY10" s="687"/>
      <c r="BZ10" s="687"/>
      <c r="CA10" s="687"/>
      <c r="CB10" s="687"/>
      <c r="CC10" s="687"/>
      <c r="CD10" s="687"/>
      <c r="CE10" s="687"/>
      <c r="CF10" s="687"/>
      <c r="CG10" s="687"/>
      <c r="CH10" s="687"/>
      <c r="CI10" s="687"/>
      <c r="CJ10" s="687"/>
      <c r="CK10" s="687"/>
      <c r="CL10" s="687"/>
      <c r="CM10" s="687"/>
      <c r="CN10" s="687"/>
      <c r="CO10" s="687"/>
      <c r="CP10" s="687"/>
      <c r="CQ10" s="687"/>
      <c r="CR10" s="687"/>
      <c r="CS10" s="687"/>
      <c r="CT10" s="687"/>
      <c r="CU10" s="687"/>
      <c r="CV10" s="687"/>
      <c r="CW10" s="687"/>
      <c r="CX10" s="687"/>
      <c r="CY10" s="687"/>
      <c r="CZ10" s="687"/>
      <c r="DA10" s="687"/>
      <c r="DB10" s="687"/>
      <c r="DC10" s="687"/>
      <c r="DD10" s="687"/>
      <c r="DE10" s="687"/>
      <c r="DF10" s="687"/>
      <c r="DG10" s="687"/>
      <c r="DH10" s="687"/>
    </row>
    <row r="11" spans="1:112" ht="14.25" x14ac:dyDescent="0.2">
      <c r="A11" s="159" t="s">
        <v>114</v>
      </c>
      <c r="B11" s="741" t="s">
        <v>565</v>
      </c>
      <c r="C11" s="159"/>
      <c r="D11" s="744">
        <v>9.4E-2</v>
      </c>
      <c r="E11" s="743">
        <v>6.8181818181818246E-2</v>
      </c>
      <c r="F11" s="743">
        <v>8.0459770114942611E-2</v>
      </c>
      <c r="G11" s="682"/>
      <c r="H11" s="744">
        <v>5.0999999999999997E-2</v>
      </c>
      <c r="I11" s="743">
        <v>0.2439024390243901</v>
      </c>
      <c r="J11" s="743">
        <v>0.27499999999999991</v>
      </c>
      <c r="K11" s="682"/>
      <c r="L11" s="744">
        <v>1.7999999999999999E-2</v>
      </c>
      <c r="M11" s="743">
        <v>-5.2631578947368467E-2</v>
      </c>
      <c r="N11" s="743">
        <v>-5.2631578947368467E-2</v>
      </c>
      <c r="O11" s="744"/>
      <c r="P11" s="744">
        <v>2.5000000000000001E-2</v>
      </c>
      <c r="Q11" s="743">
        <v>-0.10714285714285711</v>
      </c>
      <c r="R11" s="743">
        <v>-0.13793103448275862</v>
      </c>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7"/>
      <c r="AZ11" s="687"/>
      <c r="BA11" s="687"/>
      <c r="BB11" s="687"/>
      <c r="BC11" s="687"/>
      <c r="BD11" s="687"/>
      <c r="BE11" s="687"/>
      <c r="BF11" s="687"/>
      <c r="BG11" s="687"/>
      <c r="BH11" s="687"/>
      <c r="BI11" s="687"/>
      <c r="BJ11" s="687"/>
      <c r="BK11" s="687"/>
      <c r="BL11" s="687"/>
      <c r="BM11" s="687"/>
      <c r="BN11" s="687"/>
      <c r="BO11" s="687"/>
      <c r="BP11" s="687"/>
      <c r="BQ11" s="687"/>
      <c r="BR11" s="687"/>
      <c r="BS11" s="687"/>
      <c r="BT11" s="687"/>
      <c r="BU11" s="687"/>
      <c r="BV11" s="687"/>
      <c r="BW11" s="687"/>
      <c r="BX11" s="687"/>
      <c r="BY11" s="687"/>
      <c r="BZ11" s="687"/>
      <c r="CA11" s="687"/>
      <c r="CB11" s="687"/>
      <c r="CC11" s="687"/>
      <c r="CD11" s="687"/>
      <c r="CE11" s="687"/>
      <c r="CF11" s="687"/>
      <c r="CG11" s="687"/>
      <c r="CH11" s="687"/>
      <c r="CI11" s="687"/>
      <c r="CJ11" s="687"/>
      <c r="CK11" s="687"/>
      <c r="CL11" s="687"/>
      <c r="CM11" s="687"/>
      <c r="CN11" s="687"/>
      <c r="CO11" s="687"/>
      <c r="CP11" s="687"/>
      <c r="CQ11" s="687"/>
      <c r="CR11" s="687"/>
      <c r="CS11" s="687"/>
      <c r="CT11" s="687"/>
      <c r="CU11" s="687"/>
      <c r="CV11" s="687"/>
      <c r="CW11" s="687"/>
      <c r="CX11" s="687"/>
      <c r="CY11" s="687"/>
      <c r="CZ11" s="687"/>
      <c r="DA11" s="687"/>
      <c r="DB11" s="687"/>
      <c r="DC11" s="687"/>
      <c r="DD11" s="687"/>
      <c r="DE11" s="687"/>
      <c r="DF11" s="687"/>
      <c r="DG11" s="687"/>
      <c r="DH11" s="687"/>
    </row>
    <row r="12" spans="1:112" ht="14.25" x14ac:dyDescent="0.2">
      <c r="A12" s="159" t="s">
        <v>114</v>
      </c>
      <c r="B12" s="741" t="s">
        <v>3181</v>
      </c>
      <c r="C12" s="159"/>
      <c r="D12" s="744">
        <v>0.09</v>
      </c>
      <c r="E12" s="743">
        <v>2.2727272727272749E-2</v>
      </c>
      <c r="F12" s="743">
        <v>3.4482758620689689E-2</v>
      </c>
      <c r="G12" s="682"/>
      <c r="H12" s="744">
        <v>3.6999999999999998E-2</v>
      </c>
      <c r="I12" s="743">
        <v>-9.7560975609756184E-2</v>
      </c>
      <c r="J12" s="743">
        <v>-7.5000000000000067E-2</v>
      </c>
      <c r="K12" s="682"/>
      <c r="L12" s="744">
        <v>2.3E-2</v>
      </c>
      <c r="M12" s="743">
        <v>0.2105263157894737</v>
      </c>
      <c r="N12" s="743">
        <v>0.2105263157894737</v>
      </c>
      <c r="O12" s="744"/>
      <c r="P12" s="744">
        <v>2.9000000000000001E-2</v>
      </c>
      <c r="Q12" s="743">
        <v>3.5714285714285747E-2</v>
      </c>
      <c r="R12" s="743">
        <v>0</v>
      </c>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7"/>
      <c r="BZ12" s="687"/>
      <c r="CA12" s="687"/>
      <c r="CB12" s="687"/>
      <c r="CC12" s="687"/>
      <c r="CD12" s="687"/>
      <c r="CE12" s="687"/>
      <c r="CF12" s="687"/>
      <c r="CG12" s="687"/>
      <c r="CH12" s="687"/>
      <c r="CI12" s="687"/>
      <c r="CJ12" s="687"/>
      <c r="CK12" s="687"/>
      <c r="CL12" s="687"/>
      <c r="CM12" s="687"/>
      <c r="CN12" s="687"/>
      <c r="CO12" s="687"/>
      <c r="CP12" s="687"/>
      <c r="CQ12" s="687"/>
      <c r="CR12" s="687"/>
      <c r="CS12" s="687"/>
      <c r="CT12" s="687"/>
      <c r="CU12" s="687"/>
      <c r="CV12" s="687"/>
      <c r="CW12" s="687"/>
      <c r="CX12" s="687"/>
      <c r="CY12" s="687"/>
      <c r="CZ12" s="687"/>
      <c r="DA12" s="687"/>
      <c r="DB12" s="687"/>
      <c r="DC12" s="687"/>
      <c r="DD12" s="687"/>
      <c r="DE12" s="687"/>
      <c r="DF12" s="687"/>
      <c r="DG12" s="687"/>
      <c r="DH12" s="687"/>
    </row>
    <row r="13" spans="1:112" ht="14.25" x14ac:dyDescent="0.2">
      <c r="A13" s="159" t="s">
        <v>114</v>
      </c>
      <c r="B13" s="745" t="s">
        <v>3627</v>
      </c>
      <c r="C13" s="159"/>
      <c r="D13" s="744">
        <v>9.0999999999999998E-2</v>
      </c>
      <c r="E13" s="743">
        <v>3.4090909090909123E-2</v>
      </c>
      <c r="F13" s="743">
        <v>4.5977011494252915E-2</v>
      </c>
      <c r="G13" s="682"/>
      <c r="H13" s="744">
        <v>4.8000000000000001E-2</v>
      </c>
      <c r="I13" s="743">
        <v>0.17073170731707316</v>
      </c>
      <c r="J13" s="743">
        <v>0.2</v>
      </c>
      <c r="K13" s="682"/>
      <c r="L13" s="744">
        <v>1.6E-2</v>
      </c>
      <c r="M13" s="743">
        <v>-0.15789473684210523</v>
      </c>
      <c r="N13" s="743">
        <v>-0.15789473684210523</v>
      </c>
      <c r="O13" s="744"/>
      <c r="P13" s="744">
        <v>2.5999999999999999E-2</v>
      </c>
      <c r="Q13" s="743">
        <v>-7.1428571428571494E-2</v>
      </c>
      <c r="R13" s="743">
        <v>-0.10344827586206905</v>
      </c>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7"/>
      <c r="BI13" s="687"/>
      <c r="BJ13" s="687"/>
      <c r="BK13" s="687"/>
      <c r="BL13" s="687"/>
      <c r="BM13" s="687"/>
      <c r="BN13" s="687"/>
      <c r="BO13" s="687"/>
      <c r="BP13" s="687"/>
      <c r="BQ13" s="687"/>
      <c r="BR13" s="687"/>
      <c r="BS13" s="687"/>
      <c r="BT13" s="687"/>
      <c r="BU13" s="687"/>
      <c r="BV13" s="687"/>
      <c r="BW13" s="687"/>
      <c r="BX13" s="687"/>
      <c r="BY13" s="687"/>
      <c r="BZ13" s="687"/>
      <c r="CA13" s="687"/>
      <c r="CB13" s="687"/>
      <c r="CC13" s="687"/>
      <c r="CD13" s="687"/>
      <c r="CE13" s="687"/>
      <c r="CF13" s="687"/>
      <c r="CG13" s="687"/>
      <c r="CH13" s="687"/>
      <c r="CI13" s="687"/>
      <c r="CJ13" s="687"/>
      <c r="CK13" s="687"/>
      <c r="CL13" s="687"/>
      <c r="CM13" s="687"/>
      <c r="CN13" s="687"/>
      <c r="CO13" s="687"/>
      <c r="CP13" s="687"/>
      <c r="CQ13" s="687"/>
      <c r="CR13" s="687"/>
      <c r="CS13" s="687"/>
      <c r="CT13" s="687"/>
      <c r="CU13" s="687"/>
      <c r="CV13" s="687"/>
      <c r="CW13" s="687"/>
      <c r="CX13" s="687"/>
      <c r="CY13" s="687"/>
      <c r="CZ13" s="687"/>
      <c r="DA13" s="687"/>
      <c r="DB13" s="687"/>
      <c r="DC13" s="687"/>
      <c r="DD13" s="687"/>
      <c r="DE13" s="687"/>
      <c r="DF13" s="687"/>
      <c r="DG13" s="687"/>
      <c r="DH13" s="687"/>
    </row>
    <row r="14" spans="1:112" ht="14.25" x14ac:dyDescent="0.2">
      <c r="A14" s="159" t="s">
        <v>114</v>
      </c>
      <c r="B14" s="741" t="s">
        <v>3182</v>
      </c>
      <c r="C14" s="159"/>
      <c r="D14" s="744"/>
      <c r="E14" s="743"/>
      <c r="F14" s="743"/>
      <c r="G14" s="682"/>
      <c r="H14" s="744"/>
      <c r="I14" s="743"/>
      <c r="J14" s="743"/>
      <c r="K14" s="682"/>
      <c r="L14" s="744"/>
      <c r="M14" s="743"/>
      <c r="N14" s="743"/>
      <c r="O14" s="744"/>
      <c r="P14" s="744"/>
      <c r="Q14" s="743"/>
      <c r="R14" s="743"/>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7"/>
      <c r="AY14" s="687"/>
      <c r="AZ14" s="687"/>
      <c r="BA14" s="687"/>
      <c r="BB14" s="687"/>
      <c r="BC14" s="687"/>
      <c r="BD14" s="687"/>
      <c r="BE14" s="687"/>
      <c r="BF14" s="687"/>
      <c r="BG14" s="687"/>
      <c r="BH14" s="687"/>
      <c r="BI14" s="687"/>
      <c r="BJ14" s="687"/>
      <c r="BK14" s="687"/>
      <c r="BL14" s="687"/>
      <c r="BM14" s="687"/>
      <c r="BN14" s="687"/>
      <c r="BO14" s="687"/>
      <c r="BP14" s="687"/>
      <c r="BQ14" s="687"/>
      <c r="BR14" s="687"/>
      <c r="BS14" s="687"/>
      <c r="BT14" s="687"/>
      <c r="BU14" s="687"/>
      <c r="BV14" s="687"/>
      <c r="BW14" s="687"/>
      <c r="BX14" s="687"/>
      <c r="BY14" s="687"/>
      <c r="BZ14" s="687"/>
      <c r="CA14" s="687"/>
      <c r="CB14" s="687"/>
      <c r="CC14" s="687"/>
      <c r="CD14" s="687"/>
      <c r="CE14" s="687"/>
      <c r="CF14" s="687"/>
      <c r="CG14" s="687"/>
      <c r="CH14" s="687"/>
      <c r="CI14" s="687"/>
      <c r="CJ14" s="687"/>
      <c r="CK14" s="687"/>
      <c r="CL14" s="687"/>
      <c r="CM14" s="687"/>
      <c r="CN14" s="687"/>
      <c r="CO14" s="687"/>
      <c r="CP14" s="687"/>
      <c r="CQ14" s="687"/>
      <c r="CR14" s="687"/>
      <c r="CS14" s="687"/>
      <c r="CT14" s="687"/>
      <c r="CU14" s="687"/>
      <c r="CV14" s="687"/>
      <c r="CW14" s="687"/>
      <c r="CX14" s="687"/>
      <c r="CY14" s="687"/>
      <c r="CZ14" s="687"/>
      <c r="DA14" s="687"/>
      <c r="DB14" s="687"/>
      <c r="DC14" s="687"/>
      <c r="DD14" s="687"/>
      <c r="DE14" s="687"/>
      <c r="DF14" s="687"/>
      <c r="DG14" s="687"/>
      <c r="DH14" s="687"/>
    </row>
    <row r="15" spans="1:112" ht="14.25" x14ac:dyDescent="0.2">
      <c r="A15" s="159" t="s">
        <v>114</v>
      </c>
      <c r="B15" s="741" t="s">
        <v>3183</v>
      </c>
      <c r="C15" s="159"/>
      <c r="D15" s="744">
        <v>0.09</v>
      </c>
      <c r="E15" s="743">
        <v>2.2727272727272749E-2</v>
      </c>
      <c r="F15" s="743">
        <v>3.4482758620689689E-2</v>
      </c>
      <c r="G15" s="682"/>
      <c r="H15" s="744">
        <v>4.4999999999999998E-2</v>
      </c>
      <c r="I15" s="743">
        <v>9.7560975609756018E-2</v>
      </c>
      <c r="J15" s="743">
        <v>0.12499999999999993</v>
      </c>
      <c r="K15" s="682"/>
      <c r="L15" s="744">
        <v>1.7999999999999999E-2</v>
      </c>
      <c r="M15" s="743">
        <v>-5.2631578947368467E-2</v>
      </c>
      <c r="N15" s="743">
        <v>-5.2631578947368467E-2</v>
      </c>
      <c r="O15" s="744"/>
      <c r="P15" s="744">
        <v>2.8000000000000001E-2</v>
      </c>
      <c r="Q15" s="743">
        <v>0</v>
      </c>
      <c r="R15" s="743">
        <v>-3.4482758620689682E-2</v>
      </c>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c r="BE15" s="687"/>
      <c r="BF15" s="687"/>
      <c r="BG15" s="687"/>
      <c r="BH15" s="687"/>
      <c r="BI15" s="687"/>
      <c r="BJ15" s="687"/>
      <c r="BK15" s="687"/>
      <c r="BL15" s="687"/>
      <c r="BM15" s="687"/>
      <c r="BN15" s="687"/>
      <c r="BO15" s="687"/>
      <c r="BP15" s="687"/>
      <c r="BQ15" s="687"/>
      <c r="BR15" s="687"/>
      <c r="BS15" s="687"/>
      <c r="BT15" s="687"/>
      <c r="BU15" s="687"/>
      <c r="BV15" s="687"/>
      <c r="BW15" s="687"/>
      <c r="BX15" s="687"/>
      <c r="BY15" s="687"/>
      <c r="BZ15" s="687"/>
      <c r="CA15" s="687"/>
      <c r="CB15" s="687"/>
      <c r="CC15" s="687"/>
      <c r="CD15" s="687"/>
      <c r="CE15" s="687"/>
      <c r="CF15" s="687"/>
      <c r="CG15" s="687"/>
      <c r="CH15" s="687"/>
      <c r="CI15" s="687"/>
      <c r="CJ15" s="687"/>
      <c r="CK15" s="687"/>
      <c r="CL15" s="687"/>
      <c r="CM15" s="687"/>
      <c r="CN15" s="687"/>
      <c r="CO15" s="687"/>
      <c r="CP15" s="687"/>
      <c r="CQ15" s="687"/>
      <c r="CR15" s="687"/>
      <c r="CS15" s="687"/>
      <c r="CT15" s="687"/>
      <c r="CU15" s="687"/>
      <c r="CV15" s="687"/>
      <c r="CW15" s="687"/>
      <c r="CX15" s="687"/>
      <c r="CY15" s="687"/>
      <c r="CZ15" s="687"/>
      <c r="DA15" s="687"/>
      <c r="DB15" s="687"/>
      <c r="DC15" s="687"/>
      <c r="DD15" s="687"/>
      <c r="DE15" s="687"/>
      <c r="DF15" s="687"/>
      <c r="DG15" s="687"/>
      <c r="DH15" s="687"/>
    </row>
    <row r="16" spans="1:112" ht="15" x14ac:dyDescent="0.25">
      <c r="A16" s="159" t="s">
        <v>114</v>
      </c>
      <c r="B16" s="741" t="s">
        <v>3184</v>
      </c>
      <c r="C16" s="159"/>
      <c r="D16" s="682"/>
      <c r="E16" s="746"/>
      <c r="F16" s="747"/>
      <c r="G16" s="682"/>
      <c r="H16" s="682"/>
      <c r="I16" s="746"/>
      <c r="J16" s="746"/>
      <c r="K16" s="682"/>
      <c r="L16" s="682"/>
      <c r="M16" s="746"/>
      <c r="N16" s="746"/>
      <c r="O16" s="682"/>
      <c r="P16" s="682"/>
      <c r="Q16" s="746"/>
      <c r="R16" s="746"/>
      <c r="S16" s="687"/>
      <c r="T16" s="687"/>
      <c r="U16" s="687"/>
      <c r="V16" s="687"/>
      <c r="W16" s="687"/>
      <c r="X16" s="687"/>
      <c r="Y16" s="687"/>
      <c r="Z16" s="687"/>
      <c r="AA16" s="687"/>
      <c r="AB16" s="687"/>
      <c r="AC16" s="687"/>
      <c r="AD16" s="687"/>
      <c r="AE16" s="687"/>
      <c r="AF16" s="687"/>
      <c r="AG16" s="687"/>
      <c r="AH16" s="687"/>
      <c r="AI16" s="687"/>
      <c r="AJ16" s="687"/>
      <c r="AK16" s="687"/>
      <c r="AL16" s="687"/>
      <c r="AM16" s="687"/>
      <c r="AN16" s="687"/>
      <c r="AO16" s="687"/>
      <c r="AP16" s="687"/>
      <c r="AQ16" s="687"/>
      <c r="AR16" s="687"/>
      <c r="AS16" s="687"/>
      <c r="AT16" s="687"/>
      <c r="AU16" s="687"/>
      <c r="AV16" s="687"/>
      <c r="AW16" s="687"/>
      <c r="AX16" s="687"/>
      <c r="AY16" s="687"/>
      <c r="AZ16" s="687"/>
      <c r="BA16" s="687"/>
      <c r="BB16" s="687"/>
      <c r="BC16" s="687"/>
      <c r="BD16" s="687"/>
      <c r="BE16" s="687"/>
      <c r="BF16" s="687"/>
      <c r="BG16" s="687"/>
      <c r="BH16" s="687"/>
      <c r="BI16" s="687"/>
      <c r="BJ16" s="687"/>
      <c r="BK16" s="687"/>
      <c r="BL16" s="687"/>
      <c r="BM16" s="687"/>
      <c r="BN16" s="687"/>
      <c r="BO16" s="687"/>
      <c r="BP16" s="687"/>
      <c r="BQ16" s="687"/>
      <c r="BR16" s="687"/>
      <c r="BS16" s="687"/>
      <c r="BT16" s="687"/>
      <c r="BU16" s="687"/>
      <c r="BV16" s="687"/>
      <c r="BW16" s="687"/>
      <c r="BX16" s="687"/>
      <c r="BY16" s="687"/>
      <c r="BZ16" s="687"/>
      <c r="CA16" s="687"/>
      <c r="CB16" s="687"/>
      <c r="CC16" s="687"/>
      <c r="CD16" s="687"/>
      <c r="CE16" s="687"/>
      <c r="CF16" s="687"/>
      <c r="CG16" s="687"/>
      <c r="CH16" s="687"/>
      <c r="CI16" s="687"/>
      <c r="CJ16" s="687"/>
      <c r="CK16" s="687"/>
      <c r="CL16" s="687"/>
      <c r="CM16" s="687"/>
      <c r="CN16" s="687"/>
      <c r="CO16" s="687"/>
      <c r="CP16" s="687"/>
      <c r="CQ16" s="687"/>
      <c r="CR16" s="687"/>
      <c r="CS16" s="687"/>
      <c r="CT16" s="687"/>
      <c r="CU16" s="687"/>
      <c r="CV16" s="687"/>
      <c r="CW16" s="687"/>
      <c r="CX16" s="687"/>
      <c r="CY16" s="687"/>
      <c r="CZ16" s="687"/>
      <c r="DA16" s="687"/>
      <c r="DB16" s="687"/>
      <c r="DC16" s="687"/>
      <c r="DD16" s="687"/>
      <c r="DE16" s="687"/>
      <c r="DF16" s="687"/>
      <c r="DG16" s="687"/>
      <c r="DH16" s="687"/>
    </row>
    <row r="17" spans="1:112" ht="15" x14ac:dyDescent="0.25">
      <c r="A17" s="159"/>
      <c r="B17" s="159"/>
      <c r="C17" s="159"/>
      <c r="D17" s="742"/>
      <c r="E17" s="748"/>
      <c r="F17" s="748"/>
      <c r="G17" s="159"/>
      <c r="H17" s="742"/>
      <c r="I17" s="748"/>
      <c r="J17" s="748"/>
      <c r="K17" s="159"/>
      <c r="L17" s="742"/>
      <c r="M17" s="748"/>
      <c r="N17" s="748"/>
      <c r="O17" s="749"/>
      <c r="P17" s="742"/>
      <c r="Q17" s="748"/>
      <c r="R17" s="748"/>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c r="AV17" s="687"/>
      <c r="AW17" s="687"/>
      <c r="AX17" s="687"/>
      <c r="AY17" s="687"/>
      <c r="AZ17" s="687"/>
      <c r="BA17" s="687"/>
      <c r="BB17" s="687"/>
      <c r="BC17" s="687"/>
      <c r="BD17" s="687"/>
      <c r="BE17" s="687"/>
      <c r="BF17" s="687"/>
      <c r="BG17" s="687"/>
      <c r="BH17" s="687"/>
      <c r="BI17" s="687"/>
      <c r="BJ17" s="687"/>
      <c r="BK17" s="687"/>
      <c r="BL17" s="687"/>
      <c r="BM17" s="687"/>
      <c r="BN17" s="687"/>
      <c r="BO17" s="687"/>
      <c r="BP17" s="687"/>
      <c r="BQ17" s="687"/>
      <c r="BR17" s="687"/>
      <c r="BS17" s="687"/>
      <c r="BT17" s="687"/>
      <c r="BU17" s="687"/>
      <c r="BV17" s="687"/>
      <c r="BW17" s="687"/>
      <c r="BX17" s="687"/>
      <c r="BY17" s="687"/>
      <c r="BZ17" s="687"/>
      <c r="CA17" s="687"/>
      <c r="CB17" s="687"/>
      <c r="CC17" s="687"/>
      <c r="CD17" s="687"/>
      <c r="CE17" s="687"/>
      <c r="CF17" s="687"/>
      <c r="CG17" s="687"/>
      <c r="CH17" s="687"/>
      <c r="CI17" s="687"/>
      <c r="CJ17" s="687"/>
      <c r="CK17" s="687"/>
      <c r="CL17" s="687"/>
      <c r="CM17" s="687"/>
      <c r="CN17" s="687"/>
      <c r="CO17" s="687"/>
      <c r="CP17" s="687"/>
      <c r="CQ17" s="687"/>
      <c r="CR17" s="687"/>
      <c r="CS17" s="687"/>
      <c r="CT17" s="687"/>
      <c r="CU17" s="687"/>
      <c r="CV17" s="687"/>
      <c r="CW17" s="687"/>
      <c r="CX17" s="687"/>
      <c r="CY17" s="687"/>
      <c r="CZ17" s="687"/>
      <c r="DA17" s="687"/>
      <c r="DB17" s="687"/>
      <c r="DC17" s="687"/>
      <c r="DD17" s="687"/>
      <c r="DE17" s="687"/>
      <c r="DF17" s="687"/>
      <c r="DG17" s="687"/>
      <c r="DH17" s="687"/>
    </row>
    <row r="18" spans="1:112" ht="15" x14ac:dyDescent="0.25">
      <c r="A18" s="215" t="s">
        <v>3185</v>
      </c>
      <c r="B18" s="159"/>
      <c r="C18" s="750"/>
      <c r="D18" s="159"/>
      <c r="E18" s="159"/>
      <c r="F18" s="159"/>
      <c r="G18" s="159"/>
      <c r="H18" s="159"/>
      <c r="I18" s="159"/>
      <c r="J18" s="159"/>
      <c r="K18" s="159"/>
      <c r="L18" s="159"/>
      <c r="M18" s="159"/>
      <c r="N18" s="159"/>
      <c r="O18" s="159"/>
      <c r="P18" s="159"/>
      <c r="Q18" s="159"/>
      <c r="R18" s="159"/>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c r="BF18" s="687"/>
      <c r="BG18" s="687"/>
      <c r="BH18" s="687"/>
      <c r="BI18" s="687"/>
      <c r="BJ18" s="687"/>
      <c r="BK18" s="687"/>
      <c r="BL18" s="687"/>
      <c r="BM18" s="687"/>
      <c r="BN18" s="687"/>
      <c r="BO18" s="687"/>
      <c r="BP18" s="687"/>
      <c r="BQ18" s="687"/>
      <c r="BR18" s="687"/>
      <c r="BS18" s="687"/>
      <c r="BT18" s="687"/>
      <c r="BU18" s="687"/>
      <c r="BV18" s="687"/>
      <c r="BW18" s="687"/>
      <c r="BX18" s="687"/>
      <c r="BY18" s="687"/>
      <c r="BZ18" s="687"/>
      <c r="CA18" s="687"/>
      <c r="CB18" s="687"/>
      <c r="CC18" s="687"/>
      <c r="CD18" s="687"/>
      <c r="CE18" s="687"/>
      <c r="CF18" s="687"/>
      <c r="CG18" s="687"/>
      <c r="CH18" s="687"/>
      <c r="CI18" s="687"/>
      <c r="CJ18" s="687"/>
      <c r="CK18" s="687"/>
      <c r="CL18" s="687"/>
      <c r="CM18" s="687"/>
      <c r="CN18" s="687"/>
      <c r="CO18" s="687"/>
      <c r="CP18" s="687"/>
      <c r="CQ18" s="687"/>
      <c r="CR18" s="687"/>
      <c r="CS18" s="687"/>
      <c r="CT18" s="687"/>
      <c r="CU18" s="687"/>
      <c r="CV18" s="687"/>
      <c r="CW18" s="687"/>
      <c r="CX18" s="687"/>
      <c r="CY18" s="687"/>
      <c r="CZ18" s="687"/>
      <c r="DA18" s="687"/>
      <c r="DB18" s="687"/>
      <c r="DC18" s="687"/>
      <c r="DD18" s="687"/>
      <c r="DE18" s="687"/>
      <c r="DF18" s="687"/>
      <c r="DG18" s="687"/>
      <c r="DH18" s="687"/>
    </row>
    <row r="19" spans="1:112" x14ac:dyDescent="0.2">
      <c r="A19" s="762" t="s">
        <v>3186</v>
      </c>
      <c r="B19" s="762"/>
      <c r="C19" s="762"/>
      <c r="D19" s="762"/>
      <c r="E19" s="762"/>
      <c r="F19" s="762"/>
      <c r="G19" s="762"/>
      <c r="H19" s="762"/>
      <c r="I19" s="762"/>
      <c r="J19" s="762"/>
      <c r="K19" s="762"/>
      <c r="L19" s="762"/>
      <c r="M19" s="762"/>
      <c r="N19" s="762"/>
      <c r="O19" s="762"/>
      <c r="P19" s="762"/>
      <c r="Q19" s="762"/>
      <c r="R19" s="762"/>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687"/>
      <c r="BJ19" s="687"/>
      <c r="BK19" s="687"/>
      <c r="BL19" s="687"/>
      <c r="BM19" s="687"/>
      <c r="BN19" s="687"/>
      <c r="BO19" s="687"/>
      <c r="BP19" s="687"/>
      <c r="BQ19" s="687"/>
      <c r="BR19" s="687"/>
      <c r="BS19" s="687"/>
      <c r="BT19" s="687"/>
      <c r="BU19" s="687"/>
      <c r="BV19" s="687"/>
      <c r="BW19" s="687"/>
      <c r="BX19" s="687"/>
      <c r="BY19" s="687"/>
      <c r="BZ19" s="687"/>
      <c r="CA19" s="687"/>
      <c r="CB19" s="687"/>
      <c r="CC19" s="687"/>
      <c r="CD19" s="687"/>
      <c r="CE19" s="687"/>
      <c r="CF19" s="687"/>
      <c r="CG19" s="687"/>
      <c r="CH19" s="687"/>
      <c r="CI19" s="687"/>
      <c r="CJ19" s="687"/>
      <c r="CK19" s="687"/>
      <c r="CL19" s="687"/>
      <c r="CM19" s="687"/>
      <c r="CN19" s="687"/>
      <c r="CO19" s="687"/>
      <c r="CP19" s="687"/>
      <c r="CQ19" s="687"/>
      <c r="CR19" s="687"/>
      <c r="CS19" s="687"/>
      <c r="CT19" s="687"/>
      <c r="CU19" s="687"/>
      <c r="CV19" s="687"/>
      <c r="CW19" s="687"/>
      <c r="CX19" s="687"/>
      <c r="CY19" s="687"/>
      <c r="CZ19" s="687"/>
      <c r="DA19" s="687"/>
      <c r="DB19" s="687"/>
      <c r="DC19" s="687"/>
      <c r="DD19" s="687"/>
      <c r="DE19" s="687"/>
      <c r="DF19" s="687"/>
      <c r="DG19" s="687"/>
      <c r="DH19" s="687"/>
    </row>
    <row r="20" spans="1:112" ht="15" x14ac:dyDescent="0.25">
      <c r="A20" s="159"/>
      <c r="B20" s="159"/>
      <c r="C20" s="159"/>
      <c r="D20" s="749"/>
      <c r="E20" s="751"/>
      <c r="F20" s="748"/>
      <c r="G20" s="159"/>
      <c r="H20" s="749"/>
      <c r="I20" s="751"/>
      <c r="J20" s="748"/>
      <c r="K20" s="159"/>
      <c r="L20" s="749"/>
      <c r="M20" s="751"/>
      <c r="N20" s="748"/>
      <c r="O20" s="749"/>
      <c r="P20" s="749"/>
      <c r="Q20" s="751"/>
      <c r="R20" s="748"/>
      <c r="S20" s="687"/>
      <c r="T20" s="687"/>
      <c r="U20" s="687"/>
      <c r="V20" s="687"/>
      <c r="W20" s="687"/>
      <c r="X20" s="687"/>
      <c r="Y20" s="687"/>
      <c r="Z20" s="687"/>
      <c r="AA20" s="687"/>
      <c r="AB20" s="687"/>
      <c r="AC20" s="687"/>
      <c r="AD20" s="687"/>
      <c r="AE20" s="687"/>
      <c r="AF20" s="687"/>
      <c r="AG20" s="687"/>
      <c r="AH20" s="687"/>
      <c r="AI20" s="687"/>
      <c r="AJ20" s="687"/>
      <c r="AK20" s="687"/>
      <c r="AL20" s="687"/>
      <c r="AM20" s="687"/>
      <c r="AN20" s="687"/>
      <c r="AO20" s="687"/>
      <c r="AP20" s="687"/>
      <c r="AQ20" s="687"/>
      <c r="AR20" s="687"/>
      <c r="AS20" s="687"/>
      <c r="AT20" s="687"/>
      <c r="AU20" s="687"/>
      <c r="AV20" s="687"/>
      <c r="AW20" s="687"/>
      <c r="AX20" s="687"/>
      <c r="AY20" s="687"/>
      <c r="AZ20" s="687"/>
      <c r="BA20" s="687"/>
      <c r="BB20" s="687"/>
      <c r="BC20" s="687"/>
      <c r="BD20" s="687"/>
      <c r="BE20" s="687"/>
      <c r="BF20" s="687"/>
      <c r="BG20" s="687"/>
      <c r="BH20" s="687"/>
      <c r="BI20" s="687"/>
      <c r="BJ20" s="687"/>
      <c r="BK20" s="687"/>
      <c r="BL20" s="687"/>
      <c r="BM20" s="687"/>
      <c r="BN20" s="687"/>
      <c r="BO20" s="687"/>
      <c r="BP20" s="687"/>
      <c r="BQ20" s="687"/>
      <c r="BR20" s="687"/>
      <c r="BS20" s="687"/>
      <c r="BT20" s="687"/>
      <c r="BU20" s="687"/>
      <c r="BV20" s="687"/>
      <c r="BW20" s="687"/>
      <c r="BX20" s="687"/>
      <c r="BY20" s="687"/>
      <c r="BZ20" s="687"/>
      <c r="CA20" s="687"/>
      <c r="CB20" s="687"/>
      <c r="CC20" s="687"/>
      <c r="CD20" s="687"/>
      <c r="CE20" s="687"/>
      <c r="CF20" s="687"/>
      <c r="CG20" s="687"/>
      <c r="CH20" s="687"/>
      <c r="CI20" s="687"/>
      <c r="CJ20" s="687"/>
      <c r="CK20" s="687"/>
      <c r="CL20" s="687"/>
      <c r="CM20" s="687"/>
      <c r="CN20" s="687"/>
      <c r="CO20" s="687"/>
      <c r="CP20" s="687"/>
      <c r="CQ20" s="687"/>
      <c r="CR20" s="687"/>
      <c r="CS20" s="687"/>
      <c r="CT20" s="687"/>
      <c r="CU20" s="687"/>
      <c r="CV20" s="687"/>
      <c r="CW20" s="687"/>
      <c r="CX20" s="687"/>
      <c r="CY20" s="687"/>
      <c r="CZ20" s="687"/>
      <c r="DA20" s="687"/>
      <c r="DB20" s="687"/>
      <c r="DC20" s="687"/>
      <c r="DD20" s="687"/>
      <c r="DE20" s="687"/>
      <c r="DF20" s="687"/>
      <c r="DG20" s="687"/>
      <c r="DH20" s="687"/>
    </row>
    <row r="21" spans="1:112" ht="15" x14ac:dyDescent="0.25">
      <c r="A21" s="40"/>
      <c r="B21" s="40"/>
      <c r="C21" s="40"/>
      <c r="D21" s="216"/>
      <c r="E21" s="217"/>
      <c r="F21" s="213"/>
      <c r="G21" s="40"/>
      <c r="H21" s="216"/>
      <c r="I21" s="217"/>
      <c r="J21" s="213"/>
      <c r="K21" s="40"/>
      <c r="L21" s="216"/>
      <c r="M21" s="217"/>
      <c r="N21" s="213"/>
      <c r="O21" s="214"/>
      <c r="P21" s="216"/>
      <c r="Q21" s="217"/>
      <c r="R21" s="213"/>
    </row>
  </sheetData>
  <mergeCells count="6">
    <mergeCell ref="A19:R19"/>
    <mergeCell ref="A6:B7"/>
    <mergeCell ref="D6:F6"/>
    <mergeCell ref="H6:J6"/>
    <mergeCell ref="L6:N6"/>
    <mergeCell ref="P6:R6"/>
  </mergeCells>
  <hyperlinks>
    <hyperlink ref="H1" location="Index!A1" display="Return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workbookViewId="0">
      <selection activeCell="H1" sqref="H1"/>
    </sheetView>
  </sheetViews>
  <sheetFormatPr defaultRowHeight="12.75" x14ac:dyDescent="0.2"/>
  <cols>
    <col min="1" max="1" width="18.28515625" bestFit="1" customWidth="1"/>
    <col min="2" max="2" width="10.28515625" customWidth="1"/>
    <col min="3" max="4" width="11.85546875" customWidth="1"/>
    <col min="5" max="5" width="11.28515625" customWidth="1"/>
    <col min="6" max="6" width="10.85546875" customWidth="1"/>
    <col min="7" max="7" width="9.140625" customWidth="1"/>
    <col min="8" max="8" width="10.42578125" bestFit="1" customWidth="1"/>
    <col min="9" max="9" width="12.42578125" bestFit="1" customWidth="1"/>
    <col min="10" max="10" width="8.7109375" style="100"/>
    <col min="11" max="11" width="18.42578125" customWidth="1"/>
    <col min="12" max="12" width="11.7109375" bestFit="1" customWidth="1"/>
    <col min="13" max="13" width="13" bestFit="1" customWidth="1"/>
    <col min="14" max="14" width="11.85546875" bestFit="1" customWidth="1"/>
    <col min="15" max="15" width="11.7109375" bestFit="1" customWidth="1"/>
    <col min="16" max="16" width="14" bestFit="1" customWidth="1"/>
    <col min="18" max="18" width="11.7109375" customWidth="1"/>
    <col min="19" max="20" width="11.7109375" bestFit="1" customWidth="1"/>
    <col min="22" max="22" width="14.7109375" bestFit="1" customWidth="1"/>
  </cols>
  <sheetData>
    <row r="1" spans="1:22" x14ac:dyDescent="0.2">
      <c r="A1" s="32" t="s">
        <v>162</v>
      </c>
      <c r="B1">
        <v>2</v>
      </c>
      <c r="H1" s="48" t="s">
        <v>3630</v>
      </c>
    </row>
    <row r="2" spans="1:22" x14ac:dyDescent="0.2">
      <c r="A2" s="32" t="s">
        <v>163</v>
      </c>
      <c r="B2">
        <v>10</v>
      </c>
    </row>
    <row r="3" spans="1:22" s="100" customFormat="1" x14ac:dyDescent="0.2">
      <c r="A3" s="32" t="s">
        <v>3543</v>
      </c>
    </row>
    <row r="4" spans="1:22" ht="15.75" x14ac:dyDescent="0.25">
      <c r="A4" s="32" t="s">
        <v>3462</v>
      </c>
      <c r="K4" s="100" t="s">
        <v>3463</v>
      </c>
      <c r="L4" s="115"/>
      <c r="M4" s="40"/>
      <c r="N4" s="40"/>
      <c r="O4" s="40"/>
      <c r="P4" s="40"/>
      <c r="Q4" s="100"/>
      <c r="R4" s="113" t="s">
        <v>556</v>
      </c>
      <c r="S4" s="40"/>
      <c r="T4" s="40"/>
      <c r="U4" s="40"/>
      <c r="V4" s="40"/>
    </row>
    <row r="5" spans="1:22" ht="15.75" x14ac:dyDescent="0.25">
      <c r="B5" s="100" t="s">
        <v>566</v>
      </c>
      <c r="C5" s="100" t="s">
        <v>38</v>
      </c>
      <c r="D5" s="100" t="s">
        <v>39</v>
      </c>
      <c r="E5" s="100" t="s">
        <v>40</v>
      </c>
      <c r="F5" s="100" t="s">
        <v>41</v>
      </c>
      <c r="G5" s="100" t="s">
        <v>42</v>
      </c>
      <c r="H5" s="100" t="s">
        <v>43</v>
      </c>
      <c r="I5" s="100" t="s">
        <v>567</v>
      </c>
      <c r="K5" s="100" t="s">
        <v>557</v>
      </c>
      <c r="L5" s="100" t="s">
        <v>558</v>
      </c>
      <c r="M5" s="100" t="s">
        <v>559</v>
      </c>
      <c r="N5" s="100" t="s">
        <v>560</v>
      </c>
      <c r="O5" s="100" t="s">
        <v>561</v>
      </c>
      <c r="P5" s="100" t="s">
        <v>562</v>
      </c>
      <c r="Q5" s="40"/>
      <c r="R5" s="269" t="s">
        <v>245</v>
      </c>
      <c r="S5" s="269" t="s">
        <v>623</v>
      </c>
      <c r="T5" s="269" t="s">
        <v>44</v>
      </c>
      <c r="U5" s="320" t="s">
        <v>618</v>
      </c>
      <c r="V5" s="113" t="s">
        <v>563</v>
      </c>
    </row>
    <row r="6" spans="1:22" x14ac:dyDescent="0.2">
      <c r="A6" s="246" t="s">
        <v>568</v>
      </c>
      <c r="B6" s="57">
        <v>34884</v>
      </c>
      <c r="C6" s="57">
        <v>72844</v>
      </c>
      <c r="D6" s="57">
        <v>131770</v>
      </c>
      <c r="E6" s="57">
        <v>189390</v>
      </c>
      <c r="F6" s="57">
        <v>233470</v>
      </c>
      <c r="G6" s="57">
        <v>48618</v>
      </c>
      <c r="H6" s="57">
        <v>6515</v>
      </c>
      <c r="I6" s="57">
        <v>288603</v>
      </c>
      <c r="K6" s="57">
        <v>101016.81373006769</v>
      </c>
      <c r="L6" s="57">
        <v>3789.0245407956331</v>
      </c>
      <c r="M6" s="57">
        <v>1853.6237731204992</v>
      </c>
      <c r="N6" s="57">
        <v>3076.9725731751346</v>
      </c>
      <c r="O6" s="57">
        <v>8719.6208870912669</v>
      </c>
      <c r="P6" s="57">
        <v>92297.192842976423</v>
      </c>
      <c r="R6" s="317">
        <f>+L6/$K6</f>
        <v>3.7508850268436339E-2</v>
      </c>
      <c r="S6" s="317">
        <f t="shared" ref="S6:S8" si="0">+M6/$K6</f>
        <v>1.8349655910486984E-2</v>
      </c>
      <c r="T6" s="317">
        <f t="shared" ref="T6:T8" si="1">+N6/$K6</f>
        <v>3.0460004226596119E-2</v>
      </c>
      <c r="U6" s="321">
        <f>+O6/K6</f>
        <v>8.6318510405519439E-2</v>
      </c>
      <c r="V6" s="116">
        <v>0.91400000000000003</v>
      </c>
    </row>
    <row r="7" spans="1:22" x14ac:dyDescent="0.2">
      <c r="A7" s="246" t="s">
        <v>569</v>
      </c>
      <c r="B7" s="57">
        <v>74212</v>
      </c>
      <c r="C7" s="57">
        <v>57914</v>
      </c>
      <c r="D7" s="57">
        <v>57745</v>
      </c>
      <c r="E7" s="57">
        <v>47836</v>
      </c>
      <c r="F7" s="57">
        <v>27658</v>
      </c>
      <c r="G7" s="57">
        <v>4772</v>
      </c>
      <c r="H7" s="57">
        <v>226</v>
      </c>
      <c r="I7" s="57">
        <v>32656</v>
      </c>
      <c r="K7" s="57">
        <v>49872.563553444816</v>
      </c>
      <c r="L7" s="57">
        <v>2568.6781930219745</v>
      </c>
      <c r="M7" s="57">
        <v>1041.0739146998665</v>
      </c>
      <c r="N7" s="57">
        <v>1244.5624445652695</v>
      </c>
      <c r="O7" s="57">
        <v>4854.3145522871109</v>
      </c>
      <c r="P7" s="57">
        <v>45018.249001157703</v>
      </c>
      <c r="R7" s="317">
        <f t="shared" ref="R7:R8" si="2">+L7/$K7</f>
        <v>5.1504835725344415E-2</v>
      </c>
      <c r="S7" s="317">
        <f t="shared" si="0"/>
        <v>2.0874682200449208E-2</v>
      </c>
      <c r="T7" s="317">
        <f t="shared" si="1"/>
        <v>2.4954852044683087E-2</v>
      </c>
      <c r="U7" s="321">
        <v>9.7000000000000003E-2</v>
      </c>
      <c r="V7" s="116">
        <v>0.90300000000000002</v>
      </c>
    </row>
    <row r="8" spans="1:22" x14ac:dyDescent="0.2">
      <c r="A8" s="246" t="s">
        <v>570</v>
      </c>
      <c r="B8" s="57">
        <v>144900</v>
      </c>
      <c r="C8" s="57">
        <v>96550</v>
      </c>
      <c r="D8" s="57">
        <v>82794</v>
      </c>
      <c r="E8" s="57">
        <v>46894</v>
      </c>
      <c r="F8" s="57">
        <v>23425</v>
      </c>
      <c r="G8" s="57">
        <v>4406</v>
      </c>
      <c r="H8" s="57">
        <v>106</v>
      </c>
      <c r="I8" s="57">
        <v>27937</v>
      </c>
      <c r="K8" s="57">
        <v>39059.707824343794</v>
      </c>
      <c r="L8" s="57">
        <v>2240.8058688216502</v>
      </c>
      <c r="M8" s="57">
        <v>869.64139672993804</v>
      </c>
      <c r="N8" s="57">
        <v>861.50247497337602</v>
      </c>
      <c r="O8" s="57">
        <v>3971.949740524964</v>
      </c>
      <c r="P8" s="57">
        <v>35087.75808381883</v>
      </c>
      <c r="R8" s="317">
        <f t="shared" si="2"/>
        <v>5.7368730941327668E-2</v>
      </c>
      <c r="S8" s="317">
        <f t="shared" si="0"/>
        <v>2.2264411209649084E-2</v>
      </c>
      <c r="T8" s="317">
        <f t="shared" si="1"/>
        <v>2.2056039918364374E-2</v>
      </c>
      <c r="U8" s="321">
        <v>0.10199999999999999</v>
      </c>
      <c r="V8" s="116">
        <v>0.89800000000000002</v>
      </c>
    </row>
  </sheetData>
  <hyperlinks>
    <hyperlink ref="H1" location="Index!A1" display="Return to I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election activeCell="H1" sqref="H1"/>
    </sheetView>
  </sheetViews>
  <sheetFormatPr defaultRowHeight="12.75" x14ac:dyDescent="0.2"/>
  <cols>
    <col min="3" max="3" width="25.5703125" customWidth="1"/>
    <col min="4" max="4" width="11.42578125" bestFit="1" customWidth="1"/>
    <col min="5" max="5" width="10.42578125" bestFit="1" customWidth="1"/>
    <col min="8" max="8" width="11.42578125" bestFit="1" customWidth="1"/>
    <col min="9" max="9" width="10.42578125" bestFit="1" customWidth="1"/>
  </cols>
  <sheetData>
    <row r="1" spans="1:10" x14ac:dyDescent="0.2">
      <c r="A1" t="s">
        <v>162</v>
      </c>
      <c r="B1">
        <v>2</v>
      </c>
      <c r="H1" s="48" t="s">
        <v>3630</v>
      </c>
    </row>
    <row r="2" spans="1:10" x14ac:dyDescent="0.2">
      <c r="A2" t="s">
        <v>163</v>
      </c>
      <c r="B2">
        <v>11</v>
      </c>
    </row>
    <row r="3" spans="1:10" x14ac:dyDescent="0.2">
      <c r="A3" t="s">
        <v>138</v>
      </c>
      <c r="B3" s="32" t="s">
        <v>3544</v>
      </c>
    </row>
    <row r="6" spans="1:10" x14ac:dyDescent="0.2">
      <c r="D6" s="765" t="s">
        <v>3225</v>
      </c>
      <c r="E6" s="765"/>
      <c r="F6" s="765"/>
      <c r="H6" t="s">
        <v>3226</v>
      </c>
    </row>
    <row r="7" spans="1:10" x14ac:dyDescent="0.2">
      <c r="D7" s="227" t="s">
        <v>44</v>
      </c>
      <c r="E7" s="227" t="s">
        <v>3312</v>
      </c>
      <c r="F7" s="227" t="s">
        <v>3313</v>
      </c>
      <c r="H7" t="s">
        <v>44</v>
      </c>
      <c r="I7" t="s">
        <v>3312</v>
      </c>
      <c r="J7" t="s">
        <v>3313</v>
      </c>
    </row>
    <row r="8" spans="1:10" x14ac:dyDescent="0.2">
      <c r="C8" t="s">
        <v>3227</v>
      </c>
      <c r="D8" s="57">
        <v>34695</v>
      </c>
      <c r="E8" s="57">
        <v>3792.4890340909096</v>
      </c>
      <c r="F8" s="59">
        <v>0.10930938273788469</v>
      </c>
      <c r="H8" s="57">
        <v>34737</v>
      </c>
      <c r="I8" s="57">
        <v>3796.6093295454548</v>
      </c>
      <c r="J8" s="59">
        <v>0.10929583238464619</v>
      </c>
    </row>
    <row r="9" spans="1:10" x14ac:dyDescent="0.2">
      <c r="C9" t="s">
        <v>3228</v>
      </c>
      <c r="D9" s="57">
        <v>61852</v>
      </c>
      <c r="E9" s="57">
        <v>6154.3513309608543</v>
      </c>
      <c r="F9" s="59">
        <v>9.9501250258049123E-2</v>
      </c>
      <c r="H9" s="57">
        <v>61875</v>
      </c>
      <c r="I9" s="57">
        <v>6156.224644128115</v>
      </c>
      <c r="J9" s="59">
        <v>9.9494539703080642E-2</v>
      </c>
    </row>
    <row r="10" spans="1:10" x14ac:dyDescent="0.2">
      <c r="C10" t="s">
        <v>3229</v>
      </c>
      <c r="D10" s="57">
        <v>39316</v>
      </c>
      <c r="E10" s="57">
        <v>4245.8196363636371</v>
      </c>
      <c r="F10" s="59">
        <v>0.10799215679020341</v>
      </c>
      <c r="H10" s="57">
        <v>41543</v>
      </c>
      <c r="I10" s="57">
        <v>4464.2933977272733</v>
      </c>
      <c r="J10" s="59">
        <v>0.10746198872799927</v>
      </c>
    </row>
    <row r="11" spans="1:10" x14ac:dyDescent="0.2">
      <c r="C11" t="s">
        <v>3230</v>
      </c>
      <c r="D11" s="57">
        <v>52349</v>
      </c>
      <c r="E11" s="57">
        <v>5380.3471992882569</v>
      </c>
      <c r="F11" s="59">
        <v>0.10277841409173541</v>
      </c>
      <c r="H11" s="57">
        <v>54036</v>
      </c>
      <c r="I11" s="57">
        <v>5517.750647686833</v>
      </c>
      <c r="J11" s="59">
        <v>0.10211249255471969</v>
      </c>
    </row>
    <row r="12" spans="1:10" x14ac:dyDescent="0.2">
      <c r="C12" t="s">
        <v>3231</v>
      </c>
      <c r="D12" s="57">
        <v>50721</v>
      </c>
      <c r="E12" s="57">
        <v>5247.7492064056942</v>
      </c>
      <c r="F12" s="59">
        <v>0.10346304699051072</v>
      </c>
      <c r="H12" s="57">
        <v>48788</v>
      </c>
      <c r="I12" s="57">
        <v>5090.309451957296</v>
      </c>
      <c r="J12" s="59">
        <v>0.10433527613260014</v>
      </c>
    </row>
    <row r="13" spans="1:10" x14ac:dyDescent="0.2">
      <c r="C13" t="s">
        <v>3232</v>
      </c>
      <c r="D13" s="57">
        <v>45792</v>
      </c>
      <c r="E13" s="57">
        <v>4846.2900498220642</v>
      </c>
      <c r="F13" s="59">
        <v>0.10583267928507303</v>
      </c>
      <c r="H13" s="57">
        <v>47188</v>
      </c>
      <c r="I13" s="57">
        <v>4959.9920142348756</v>
      </c>
      <c r="J13" s="59">
        <v>0.10511129978458243</v>
      </c>
    </row>
    <row r="14" spans="1:10" x14ac:dyDescent="0.2">
      <c r="C14" t="s">
        <v>3233</v>
      </c>
      <c r="D14" s="57">
        <v>44212</v>
      </c>
      <c r="E14" s="57">
        <v>4717.6015800711748</v>
      </c>
      <c r="F14" s="59">
        <v>0.10670409798405806</v>
      </c>
      <c r="H14" s="57">
        <v>46732</v>
      </c>
      <c r="I14" s="57">
        <v>4922.8515444839859</v>
      </c>
      <c r="J14" s="59">
        <v>0.10534219687759963</v>
      </c>
    </row>
    <row r="15" spans="1:10" x14ac:dyDescent="0.2">
      <c r="C15" t="s">
        <v>3234</v>
      </c>
      <c r="D15" s="57">
        <v>46592</v>
      </c>
      <c r="E15" s="57">
        <v>4911.4487686832745</v>
      </c>
      <c r="F15" s="59">
        <v>0.10541399314653319</v>
      </c>
      <c r="H15" s="57">
        <v>49428</v>
      </c>
      <c r="I15" s="57">
        <v>5142.4364270462638</v>
      </c>
      <c r="J15" s="59">
        <v>0.10403893394525904</v>
      </c>
    </row>
    <row r="16" spans="1:10" x14ac:dyDescent="0.2">
      <c r="C16" t="s">
        <v>3235</v>
      </c>
      <c r="D16" s="57">
        <v>72056</v>
      </c>
      <c r="E16" s="57">
        <v>6964.6</v>
      </c>
      <c r="F16" s="59">
        <v>9.6655379149550358E-2</v>
      </c>
      <c r="H16" s="57">
        <v>72973</v>
      </c>
      <c r="I16" s="57">
        <v>6964.6</v>
      </c>
      <c r="J16" s="59">
        <v>9.5440779466377981E-2</v>
      </c>
    </row>
    <row r="17" spans="3:10" x14ac:dyDescent="0.2">
      <c r="C17" t="s">
        <v>3236</v>
      </c>
      <c r="D17" s="57">
        <v>51419</v>
      </c>
      <c r="E17" s="57">
        <v>5304.6001886121003</v>
      </c>
      <c r="F17" s="59">
        <v>0.1031642036720298</v>
      </c>
      <c r="H17" s="57">
        <v>53758</v>
      </c>
      <c r="I17" s="57">
        <v>5495.1079928825629</v>
      </c>
      <c r="J17" s="59">
        <v>0.10221935326616621</v>
      </c>
    </row>
    <row r="18" spans="3:10" x14ac:dyDescent="0.2">
      <c r="C18" t="s">
        <v>3237</v>
      </c>
      <c r="D18" s="57">
        <v>42774</v>
      </c>
      <c r="E18" s="57">
        <v>4585.057295454546</v>
      </c>
      <c r="F18" s="59">
        <v>0.10719262391767302</v>
      </c>
      <c r="H18" s="57">
        <v>44990</v>
      </c>
      <c r="I18" s="57">
        <v>4780.9684341637012</v>
      </c>
      <c r="J18" s="59">
        <v>0.10626735794984889</v>
      </c>
    </row>
    <row r="19" spans="3:10" x14ac:dyDescent="0.2">
      <c r="C19" t="s">
        <v>3238</v>
      </c>
      <c r="D19" s="57">
        <v>34489</v>
      </c>
      <c r="E19" s="57">
        <v>3772.2799659090915</v>
      </c>
      <c r="F19" s="59">
        <v>0.10937632189710028</v>
      </c>
      <c r="H19" s="57">
        <v>35429</v>
      </c>
      <c r="I19" s="57">
        <v>3864.4961022727275</v>
      </c>
      <c r="J19" s="59">
        <v>0.10907719953351006</v>
      </c>
    </row>
    <row r="20" spans="3:10" x14ac:dyDescent="0.2">
      <c r="C20" t="s">
        <v>3239</v>
      </c>
      <c r="D20" s="57">
        <v>46328</v>
      </c>
      <c r="E20" s="57">
        <v>4889.9463914590751</v>
      </c>
      <c r="F20" s="59">
        <v>0.10555056103132178</v>
      </c>
      <c r="H20" s="57">
        <v>45859</v>
      </c>
      <c r="I20" s="57">
        <v>4851.7470925266907</v>
      </c>
      <c r="J20" s="59">
        <v>0.10579705385042611</v>
      </c>
    </row>
    <row r="21" spans="3:10" x14ac:dyDescent="0.2">
      <c r="C21" t="s">
        <v>3240</v>
      </c>
      <c r="D21" s="57">
        <v>64016</v>
      </c>
      <c r="E21" s="57">
        <v>6330.6056654804279</v>
      </c>
      <c r="F21" s="59">
        <v>9.8890990775437823E-2</v>
      </c>
      <c r="H21" s="57">
        <v>65785</v>
      </c>
      <c r="I21" s="57">
        <v>6474.687882562278</v>
      </c>
      <c r="J21" s="59">
        <v>9.8421948507445137E-2</v>
      </c>
    </row>
    <row r="22" spans="3:10" x14ac:dyDescent="0.2">
      <c r="C22" t="s">
        <v>3241</v>
      </c>
      <c r="D22" s="57">
        <v>40938</v>
      </c>
      <c r="E22" s="57">
        <v>4404.941522727273</v>
      </c>
      <c r="F22" s="59">
        <v>0.10760031078038187</v>
      </c>
      <c r="H22" s="57">
        <v>40898</v>
      </c>
      <c r="I22" s="57">
        <v>4401.0174318181826</v>
      </c>
      <c r="J22" s="59">
        <v>0.10760960026940639</v>
      </c>
    </row>
    <row r="23" spans="3:10" x14ac:dyDescent="0.2">
      <c r="C23" t="s">
        <v>3242</v>
      </c>
      <c r="D23" s="57">
        <v>52161</v>
      </c>
      <c r="E23" s="57">
        <v>5365.0349003558722</v>
      </c>
      <c r="F23" s="59">
        <v>0.10285529227499228</v>
      </c>
      <c r="H23" s="57">
        <v>55904</v>
      </c>
      <c r="I23" s="57">
        <v>5669.8962562277584</v>
      </c>
      <c r="J23" s="59">
        <v>0.10142201374191039</v>
      </c>
    </row>
    <row r="24" spans="3:10" x14ac:dyDescent="0.2">
      <c r="C24" t="s">
        <v>3243</v>
      </c>
      <c r="D24" s="57">
        <v>50885</v>
      </c>
      <c r="E24" s="57">
        <v>5261.1067437722422</v>
      </c>
      <c r="F24" s="59">
        <v>0.10339209479752859</v>
      </c>
      <c r="H24" s="57">
        <v>55777</v>
      </c>
      <c r="I24" s="57">
        <v>5659.5523096085417</v>
      </c>
      <c r="J24" s="59">
        <v>0.10146749214924686</v>
      </c>
    </row>
    <row r="25" spans="3:10" x14ac:dyDescent="0.2">
      <c r="C25" t="s">
        <v>3244</v>
      </c>
      <c r="D25" s="57">
        <v>43329</v>
      </c>
      <c r="E25" s="57">
        <v>4639.5040568181821</v>
      </c>
      <c r="F25" s="59">
        <v>0.10707618585285103</v>
      </c>
      <c r="H25" s="57">
        <v>44323</v>
      </c>
      <c r="I25" s="57">
        <v>4726.642352313168</v>
      </c>
      <c r="J25" s="59">
        <v>0.10664084904706739</v>
      </c>
    </row>
    <row r="26" spans="3:10" x14ac:dyDescent="0.2">
      <c r="C26" t="s">
        <v>3245</v>
      </c>
      <c r="D26" s="57">
        <v>51318</v>
      </c>
      <c r="E26" s="57">
        <v>5296.3739003558721</v>
      </c>
      <c r="F26" s="59">
        <v>0.10320694298990359</v>
      </c>
      <c r="H26" s="57">
        <v>53010</v>
      </c>
      <c r="I26" s="57">
        <v>5434.1845907473316</v>
      </c>
      <c r="J26" s="59">
        <v>0.10251244276074951</v>
      </c>
    </row>
    <row r="27" spans="3:10" x14ac:dyDescent="0.2">
      <c r="C27" t="s">
        <v>3246</v>
      </c>
      <c r="D27" s="57">
        <v>49900</v>
      </c>
      <c r="E27" s="57">
        <v>5180.8800711743779</v>
      </c>
      <c r="F27" s="59">
        <v>0.10382525192734224</v>
      </c>
      <c r="H27" s="57">
        <v>50893</v>
      </c>
      <c r="I27" s="57">
        <v>5261.7583309608544</v>
      </c>
      <c r="J27" s="59">
        <v>0.10338864541215598</v>
      </c>
    </row>
    <row r="28" spans="3:10" x14ac:dyDescent="0.2">
      <c r="C28" t="s">
        <v>3247</v>
      </c>
      <c r="D28" s="57">
        <v>41696</v>
      </c>
      <c r="E28" s="57">
        <v>4479.303045454546</v>
      </c>
      <c r="F28" s="59">
        <v>0.10742764402951233</v>
      </c>
      <c r="H28" s="57">
        <v>42547</v>
      </c>
      <c r="I28" s="57">
        <v>4562.7880795454548</v>
      </c>
      <c r="J28" s="59">
        <v>0.10724112345278057</v>
      </c>
    </row>
    <row r="29" spans="3:10" x14ac:dyDescent="0.2">
      <c r="C29" t="s">
        <v>3248</v>
      </c>
      <c r="D29" s="57">
        <v>52428</v>
      </c>
      <c r="E29" s="57">
        <v>5386.7816227758012</v>
      </c>
      <c r="F29" s="59">
        <v>0.10274627341832229</v>
      </c>
      <c r="H29" s="57">
        <v>54556</v>
      </c>
      <c r="I29" s="57">
        <v>5560.1038149466194</v>
      </c>
      <c r="J29" s="59">
        <v>0.10191553293765342</v>
      </c>
    </row>
    <row r="30" spans="3:10" x14ac:dyDescent="0.2">
      <c r="C30" t="s">
        <v>3249</v>
      </c>
      <c r="D30" s="57">
        <v>53245</v>
      </c>
      <c r="E30" s="57">
        <v>5453.3249644128118</v>
      </c>
      <c r="F30" s="59">
        <v>0.10241947533877006</v>
      </c>
      <c r="H30" s="57">
        <v>53324</v>
      </c>
      <c r="I30" s="57">
        <v>5459.7593879003562</v>
      </c>
      <c r="J30" s="59">
        <v>0.10238840649426817</v>
      </c>
    </row>
    <row r="31" spans="3:10" x14ac:dyDescent="0.2">
      <c r="C31" t="s">
        <v>3250</v>
      </c>
      <c r="D31" s="57">
        <v>54006</v>
      </c>
      <c r="E31" s="57">
        <v>5515.3071957295379</v>
      </c>
      <c r="F31" s="59">
        <v>0.10212397133151016</v>
      </c>
      <c r="H31" s="57">
        <v>55616</v>
      </c>
      <c r="I31" s="57">
        <v>5646.4391174377233</v>
      </c>
      <c r="J31" s="59">
        <v>0.10152544443033881</v>
      </c>
    </row>
    <row r="32" spans="3:10" x14ac:dyDescent="0.2">
      <c r="C32" t="s">
        <v>3251</v>
      </c>
      <c r="D32" s="57">
        <v>47125</v>
      </c>
      <c r="E32" s="57">
        <v>4954.8607651245557</v>
      </c>
      <c r="F32" s="59">
        <v>0.10514293400794814</v>
      </c>
      <c r="H32" s="57">
        <v>47500</v>
      </c>
      <c r="I32" s="57">
        <v>4985.4039145907482</v>
      </c>
      <c r="J32" s="59">
        <v>0.10495587188612102</v>
      </c>
    </row>
    <row r="33" spans="3:10" x14ac:dyDescent="0.2">
      <c r="C33" t="s">
        <v>3252</v>
      </c>
      <c r="D33" s="57">
        <v>60875</v>
      </c>
      <c r="E33" s="57">
        <v>6074.7762455516022</v>
      </c>
      <c r="F33" s="59">
        <v>9.9790985553209074E-2</v>
      </c>
      <c r="H33" s="57">
        <v>61587</v>
      </c>
      <c r="I33" s="57">
        <v>6132.767505338079</v>
      </c>
      <c r="J33" s="59">
        <v>9.9578929081430803E-2</v>
      </c>
    </row>
    <row r="34" spans="3:10" x14ac:dyDescent="0.2">
      <c r="C34" t="s">
        <v>3253</v>
      </c>
      <c r="D34" s="57">
        <v>57727</v>
      </c>
      <c r="E34" s="57">
        <v>5818.3766868327402</v>
      </c>
      <c r="F34" s="59">
        <v>0.10079125343137077</v>
      </c>
      <c r="H34" s="57">
        <v>57331</v>
      </c>
      <c r="I34" s="57">
        <v>5786.1231209964417</v>
      </c>
      <c r="J34" s="59">
        <v>0.10092485951747644</v>
      </c>
    </row>
    <row r="35" spans="3:10" x14ac:dyDescent="0.2">
      <c r="C35" t="s">
        <v>3254</v>
      </c>
      <c r="D35" s="57">
        <v>41488</v>
      </c>
      <c r="E35" s="57">
        <v>4458.8977727272731</v>
      </c>
      <c r="F35" s="59">
        <v>0.1074743967587561</v>
      </c>
      <c r="H35" s="57">
        <v>45469</v>
      </c>
      <c r="I35" s="57">
        <v>4819.9822170818506</v>
      </c>
      <c r="J35" s="59">
        <v>0.10600589889995053</v>
      </c>
    </row>
    <row r="36" spans="3:10" x14ac:dyDescent="0.2">
      <c r="C36" t="s">
        <v>3255</v>
      </c>
      <c r="D36" s="57">
        <v>48344</v>
      </c>
      <c r="E36" s="57">
        <v>5054.1463629893242</v>
      </c>
      <c r="F36" s="59">
        <v>0.10454547333669792</v>
      </c>
      <c r="H36" s="57">
        <v>52679</v>
      </c>
      <c r="I36" s="57">
        <v>5407.2251708185058</v>
      </c>
      <c r="J36" s="59">
        <v>0.10264479528499983</v>
      </c>
    </row>
    <row r="37" spans="3:10" x14ac:dyDescent="0.2">
      <c r="C37" t="s">
        <v>3256</v>
      </c>
      <c r="D37" s="57">
        <v>46154</v>
      </c>
      <c r="E37" s="57">
        <v>4875.774370106762</v>
      </c>
      <c r="F37" s="59">
        <v>0.10564142588089358</v>
      </c>
      <c r="H37" s="57">
        <v>47353</v>
      </c>
      <c r="I37" s="57">
        <v>4973.4310000000005</v>
      </c>
      <c r="J37" s="59">
        <v>0.10502884716913397</v>
      </c>
    </row>
    <row r="38" spans="3:10" x14ac:dyDescent="0.2">
      <c r="C38" t="s">
        <v>3257</v>
      </c>
      <c r="D38" s="57">
        <v>42348</v>
      </c>
      <c r="E38" s="57">
        <v>4543.2657272727283</v>
      </c>
      <c r="F38" s="59">
        <v>0.10728406836858242</v>
      </c>
      <c r="H38" s="57">
        <v>44368</v>
      </c>
      <c r="I38" s="57">
        <v>4730.3075302491106</v>
      </c>
      <c r="J38" s="59">
        <v>0.10661529774272248</v>
      </c>
    </row>
    <row r="39" spans="3:10" x14ac:dyDescent="0.2">
      <c r="C39" t="s">
        <v>3258</v>
      </c>
      <c r="D39" s="57">
        <v>39365</v>
      </c>
      <c r="E39" s="57">
        <v>4250.6266477272729</v>
      </c>
      <c r="F39" s="59">
        <v>0.1079798462524393</v>
      </c>
      <c r="H39" s="57">
        <v>43571</v>
      </c>
      <c r="I39" s="57">
        <v>4663.244806818182</v>
      </c>
      <c r="J39" s="59">
        <v>0.10702634336641761</v>
      </c>
    </row>
    <row r="40" spans="3:10" x14ac:dyDescent="0.2">
      <c r="C40" t="s">
        <v>3259</v>
      </c>
      <c r="D40" s="57">
        <v>49703</v>
      </c>
      <c r="E40" s="57">
        <v>5164.8347366548051</v>
      </c>
      <c r="F40" s="59">
        <v>0.10391394355782961</v>
      </c>
      <c r="H40" s="57">
        <v>56037</v>
      </c>
      <c r="I40" s="57">
        <v>5680.7288932384345</v>
      </c>
      <c r="J40" s="59">
        <v>0.10137460772772337</v>
      </c>
    </row>
    <row r="41" spans="3:10" x14ac:dyDescent="0.2">
      <c r="C41" t="s">
        <v>3260</v>
      </c>
      <c r="D41" s="57">
        <v>39895</v>
      </c>
      <c r="E41" s="57">
        <v>4302.6208522727275</v>
      </c>
      <c r="F41" s="59">
        <v>0.10784862394467296</v>
      </c>
      <c r="H41" s="57">
        <v>39750</v>
      </c>
      <c r="I41" s="57">
        <v>4288.3960227272728</v>
      </c>
      <c r="J41" s="59">
        <v>0.10788417667238422</v>
      </c>
    </row>
    <row r="42" spans="3:10" x14ac:dyDescent="0.2">
      <c r="C42" t="s">
        <v>3261</v>
      </c>
      <c r="D42" s="57">
        <v>41332</v>
      </c>
      <c r="E42" s="57">
        <v>4443.5938181818183</v>
      </c>
      <c r="F42" s="59">
        <v>0.10750977010988624</v>
      </c>
      <c r="H42" s="57">
        <v>42561</v>
      </c>
      <c r="I42" s="57">
        <v>4564.1615113636371</v>
      </c>
      <c r="J42" s="59">
        <v>0.10723811732251678</v>
      </c>
    </row>
    <row r="43" spans="3:10" x14ac:dyDescent="0.2">
      <c r="C43" t="s">
        <v>3262</v>
      </c>
      <c r="D43" s="57">
        <v>46809</v>
      </c>
      <c r="E43" s="57">
        <v>4929.1230711743774</v>
      </c>
      <c r="F43" s="59">
        <v>0.10530289199030907</v>
      </c>
      <c r="H43" s="57">
        <v>48222</v>
      </c>
      <c r="I43" s="57">
        <v>5044.20965836299</v>
      </c>
      <c r="J43" s="59">
        <v>0.10460390814074468</v>
      </c>
    </row>
    <row r="44" spans="3:10" x14ac:dyDescent="0.2">
      <c r="C44" t="s">
        <v>3263</v>
      </c>
      <c r="D44" s="57">
        <v>57777</v>
      </c>
      <c r="E44" s="57">
        <v>5822.4491067615663</v>
      </c>
      <c r="F44" s="59">
        <v>0.10077451419702592</v>
      </c>
      <c r="H44" s="57">
        <v>59088</v>
      </c>
      <c r="I44" s="57">
        <v>5929.2279572953739</v>
      </c>
      <c r="J44" s="59">
        <v>0.10034572091279742</v>
      </c>
    </row>
    <row r="45" spans="3:10" x14ac:dyDescent="0.2">
      <c r="C45" t="s">
        <v>3264</v>
      </c>
      <c r="D45" s="57">
        <v>38019</v>
      </c>
      <c r="E45" s="57">
        <v>4118.5809886363641</v>
      </c>
      <c r="F45" s="59">
        <v>0.10832954545454547</v>
      </c>
      <c r="H45" s="57">
        <v>42321</v>
      </c>
      <c r="I45" s="57">
        <v>4540.616965909092</v>
      </c>
      <c r="J45" s="59">
        <v>0.10728992618107068</v>
      </c>
    </row>
    <row r="46" spans="3:10" x14ac:dyDescent="0.2">
      <c r="C46" t="s">
        <v>3265</v>
      </c>
      <c r="D46" s="57">
        <v>44214</v>
      </c>
      <c r="E46" s="57">
        <v>4717.7644768683276</v>
      </c>
      <c r="F46" s="59">
        <v>0.10670295555408531</v>
      </c>
      <c r="H46" s="57">
        <v>47058</v>
      </c>
      <c r="I46" s="57">
        <v>4949.4037224199292</v>
      </c>
      <c r="J46" s="59">
        <v>0.10517666969314313</v>
      </c>
    </row>
    <row r="47" spans="3:10" x14ac:dyDescent="0.2">
      <c r="C47" t="s">
        <v>3266</v>
      </c>
      <c r="D47" s="57">
        <v>40677</v>
      </c>
      <c r="E47" s="57">
        <v>4379.3368295454547</v>
      </c>
      <c r="F47" s="59">
        <v>0.10766125401444195</v>
      </c>
      <c r="H47" s="57">
        <v>40862</v>
      </c>
      <c r="I47" s="57">
        <v>4397.4857500000007</v>
      </c>
      <c r="J47" s="59">
        <v>0.10761797635945379</v>
      </c>
    </row>
    <row r="48" spans="3:10" x14ac:dyDescent="0.2">
      <c r="C48" t="s">
        <v>3267</v>
      </c>
      <c r="D48" s="57">
        <v>50671</v>
      </c>
      <c r="E48" s="57">
        <v>5243.676786476869</v>
      </c>
      <c r="F48" s="59">
        <v>0.10348477011459946</v>
      </c>
      <c r="H48" s="57">
        <v>50772</v>
      </c>
      <c r="I48" s="57">
        <v>5251.9030747330962</v>
      </c>
      <c r="J48" s="59">
        <v>0.10344093348170441</v>
      </c>
    </row>
    <row r="49" spans="3:10" x14ac:dyDescent="0.2">
      <c r="C49" t="s">
        <v>3268</v>
      </c>
      <c r="D49" s="57">
        <v>65357</v>
      </c>
      <c r="E49" s="57">
        <v>6439.8279679715306</v>
      </c>
      <c r="F49" s="59">
        <v>9.853310231454214E-2</v>
      </c>
      <c r="H49" s="57">
        <v>66610</v>
      </c>
      <c r="I49" s="57">
        <v>6541.8828113879008</v>
      </c>
      <c r="J49" s="59">
        <v>9.8211722134632945E-2</v>
      </c>
    </row>
    <row r="50" spans="3:10" x14ac:dyDescent="0.2">
      <c r="C50" t="s">
        <v>3269</v>
      </c>
      <c r="D50" s="57">
        <v>49399</v>
      </c>
      <c r="E50" s="57">
        <v>5140.0744234875447</v>
      </c>
      <c r="F50" s="59">
        <v>0.10405219586403662</v>
      </c>
      <c r="H50" s="57">
        <v>49429</v>
      </c>
      <c r="I50" s="57">
        <v>5142.5178754448407</v>
      </c>
      <c r="J50" s="59">
        <v>0.10403847691526918</v>
      </c>
    </row>
    <row r="51" spans="3:10" x14ac:dyDescent="0.2">
      <c r="C51" t="s">
        <v>3270</v>
      </c>
      <c r="D51" s="57">
        <v>67662</v>
      </c>
      <c r="E51" s="57">
        <v>6627.5665266903925</v>
      </c>
      <c r="F51" s="59">
        <v>9.7951088154213481E-2</v>
      </c>
      <c r="H51" s="57">
        <v>68508</v>
      </c>
      <c r="I51" s="57">
        <v>6696.4718718861213</v>
      </c>
      <c r="J51" s="59">
        <v>9.7747297715392673E-2</v>
      </c>
    </row>
    <row r="52" spans="3:10" x14ac:dyDescent="0.2">
      <c r="C52" t="s">
        <v>3271</v>
      </c>
      <c r="D52" s="57">
        <v>37061</v>
      </c>
      <c r="E52" s="57">
        <v>4024.5990113636367</v>
      </c>
      <c r="F52" s="59">
        <v>0.10859391304507802</v>
      </c>
      <c r="H52" s="57">
        <v>40625</v>
      </c>
      <c r="I52" s="57">
        <v>4374.2355113636368</v>
      </c>
      <c r="J52" s="59">
        <v>0.10767348951048952</v>
      </c>
    </row>
    <row r="53" spans="3:10" x14ac:dyDescent="0.2">
      <c r="C53" t="s">
        <v>3272</v>
      </c>
      <c r="D53" s="57">
        <v>39084</v>
      </c>
      <c r="E53" s="57">
        <v>4223.0599090909091</v>
      </c>
      <c r="F53" s="59">
        <v>0.10805086247801937</v>
      </c>
      <c r="H53" s="57">
        <v>40369</v>
      </c>
      <c r="I53" s="57">
        <v>4349.1213295454545</v>
      </c>
      <c r="J53" s="59">
        <v>0.10773418537851952</v>
      </c>
    </row>
    <row r="54" spans="3:10" x14ac:dyDescent="0.2">
      <c r="C54" t="s">
        <v>3273</v>
      </c>
      <c r="D54" s="57">
        <v>54332</v>
      </c>
      <c r="E54" s="57">
        <v>5541.8593736654811</v>
      </c>
      <c r="F54" s="59">
        <v>0.10199991485064937</v>
      </c>
      <c r="H54" s="57">
        <v>53438</v>
      </c>
      <c r="I54" s="57">
        <v>5469.044505338079</v>
      </c>
      <c r="J54" s="59">
        <v>0.10234373489535685</v>
      </c>
    </row>
    <row r="55" spans="3:10" x14ac:dyDescent="0.2">
      <c r="C55" t="s">
        <v>3274</v>
      </c>
      <c r="D55" s="57">
        <v>45746</v>
      </c>
      <c r="E55" s="57">
        <v>4842.5434234875447</v>
      </c>
      <c r="F55" s="59">
        <v>0.10585719895701361</v>
      </c>
      <c r="H55" s="57">
        <v>46547</v>
      </c>
      <c r="I55" s="57">
        <v>4907.7835907473318</v>
      </c>
      <c r="J55" s="59">
        <v>0.10543716223918473</v>
      </c>
    </row>
    <row r="56" spans="3:10" x14ac:dyDescent="0.2">
      <c r="C56" t="s">
        <v>3275</v>
      </c>
      <c r="D56" s="57">
        <v>50345</v>
      </c>
      <c r="E56" s="57">
        <v>5217.1246085409257</v>
      </c>
      <c r="F56" s="59">
        <v>0.10362746267833799</v>
      </c>
      <c r="H56" s="57">
        <v>51258</v>
      </c>
      <c r="I56" s="57">
        <v>5291.4869964412819</v>
      </c>
      <c r="J56" s="59">
        <v>0.10323241243203563</v>
      </c>
    </row>
    <row r="57" spans="3:10" x14ac:dyDescent="0.2">
      <c r="C57" t="s">
        <v>3276</v>
      </c>
      <c r="D57" s="57">
        <v>52478</v>
      </c>
      <c r="E57" s="57">
        <v>5390.8540427046264</v>
      </c>
      <c r="F57" s="59">
        <v>0.10272598122460129</v>
      </c>
      <c r="H57" s="57">
        <v>52676</v>
      </c>
      <c r="I57" s="57">
        <v>5406.9808256227761</v>
      </c>
      <c r="J57" s="59">
        <v>0.10264600246075586</v>
      </c>
    </row>
    <row r="58" spans="3:10" x14ac:dyDescent="0.2">
      <c r="C58" t="s">
        <v>3277</v>
      </c>
      <c r="D58" s="57">
        <v>43078</v>
      </c>
      <c r="E58" s="57">
        <v>4614.8803863636367</v>
      </c>
      <c r="F58" s="59">
        <v>0.10712847361445835</v>
      </c>
      <c r="H58" s="57">
        <v>45347</v>
      </c>
      <c r="I58" s="57">
        <v>4810.0455124555165</v>
      </c>
      <c r="J58" s="59">
        <v>0.10607196754924288</v>
      </c>
    </row>
    <row r="59" spans="3:10" x14ac:dyDescent="0.2">
      <c r="C59" t="s">
        <v>3278</v>
      </c>
      <c r="D59" s="57">
        <v>56117</v>
      </c>
      <c r="E59" s="57">
        <v>5687.2447651245557</v>
      </c>
      <c r="F59" s="59">
        <v>0.10134620106428632</v>
      </c>
      <c r="H59" s="57">
        <v>57879</v>
      </c>
      <c r="I59" s="57">
        <v>5830.7568434163704</v>
      </c>
      <c r="J59" s="59">
        <v>0.1007404558374604</v>
      </c>
    </row>
    <row r="60" spans="3:10" x14ac:dyDescent="0.2">
      <c r="C60" t="s">
        <v>3279</v>
      </c>
      <c r="D60" s="57">
        <v>43145</v>
      </c>
      <c r="E60" s="57">
        <v>4621.4532386363644</v>
      </c>
      <c r="F60" s="59">
        <v>0.10711445680000845</v>
      </c>
      <c r="H60" s="57">
        <v>46884</v>
      </c>
      <c r="I60" s="57">
        <v>4935.2317010676161</v>
      </c>
      <c r="J60" s="59">
        <v>0.10526473212754066</v>
      </c>
    </row>
    <row r="61" spans="3:10" x14ac:dyDescent="0.2">
      <c r="C61" t="s">
        <v>3280</v>
      </c>
      <c r="D61" s="57">
        <v>38411</v>
      </c>
      <c r="E61" s="57">
        <v>4157.0370795454546</v>
      </c>
      <c r="F61" s="59">
        <v>0.10822517194411639</v>
      </c>
      <c r="H61" s="57">
        <v>41660</v>
      </c>
      <c r="I61" s="57">
        <v>4475.7713636363642</v>
      </c>
      <c r="J61" s="59">
        <v>0.10743570243966309</v>
      </c>
    </row>
    <row r="62" spans="3:10" x14ac:dyDescent="0.2">
      <c r="C62" t="s">
        <v>3281</v>
      </c>
      <c r="D62" s="57">
        <v>54520</v>
      </c>
      <c r="E62" s="57">
        <v>5557.1716725978649</v>
      </c>
      <c r="F62" s="59">
        <v>0.10192904755315232</v>
      </c>
      <c r="H62" s="57">
        <v>61450</v>
      </c>
      <c r="I62" s="57">
        <v>6121.6090747330963</v>
      </c>
      <c r="J62" s="59">
        <v>9.9619350280440944E-2</v>
      </c>
    </row>
    <row r="63" spans="3:10" x14ac:dyDescent="0.2">
      <c r="C63" t="s">
        <v>3282</v>
      </c>
      <c r="D63" s="57">
        <v>42998</v>
      </c>
      <c r="E63" s="57">
        <v>4607.032204545455</v>
      </c>
      <c r="F63" s="59">
        <v>0.10714526732744442</v>
      </c>
      <c r="H63" s="57">
        <v>45299</v>
      </c>
      <c r="I63" s="57">
        <v>4806.1359893238441</v>
      </c>
      <c r="J63" s="59">
        <v>0.10609805932413174</v>
      </c>
    </row>
    <row r="64" spans="3:10" x14ac:dyDescent="0.2">
      <c r="C64" t="s">
        <v>3283</v>
      </c>
      <c r="D64" s="57">
        <v>49103</v>
      </c>
      <c r="E64" s="57">
        <v>5115.9656975088974</v>
      </c>
      <c r="F64" s="59">
        <v>0.10418845482982501</v>
      </c>
      <c r="H64" s="57">
        <v>50109</v>
      </c>
      <c r="I64" s="57">
        <v>5197.9027864768686</v>
      </c>
      <c r="J64" s="59">
        <v>0.10373192014362427</v>
      </c>
    </row>
    <row r="65" spans="3:10" x14ac:dyDescent="0.2">
      <c r="C65" t="s">
        <v>3284</v>
      </c>
      <c r="D65" s="57">
        <v>39872</v>
      </c>
      <c r="E65" s="57">
        <v>4300.3645000000006</v>
      </c>
      <c r="F65" s="59">
        <v>0.10785424608747995</v>
      </c>
      <c r="H65" s="57">
        <v>40725</v>
      </c>
      <c r="I65" s="57">
        <v>4384.0457386363641</v>
      </c>
      <c r="J65" s="59">
        <v>0.10764998744349574</v>
      </c>
    </row>
    <row r="66" spans="3:10" x14ac:dyDescent="0.2">
      <c r="C66" t="s">
        <v>3285</v>
      </c>
      <c r="D66" s="57">
        <v>48009</v>
      </c>
      <c r="E66" s="57">
        <v>5026.8611494661927</v>
      </c>
      <c r="F66" s="59">
        <v>0.10470664145194011</v>
      </c>
      <c r="H66" s="57">
        <v>49744</v>
      </c>
      <c r="I66" s="57">
        <v>5168.1741209964421</v>
      </c>
      <c r="J66" s="59">
        <v>0.10389542700620059</v>
      </c>
    </row>
    <row r="67" spans="3:10" x14ac:dyDescent="0.2">
      <c r="C67" t="s">
        <v>3286</v>
      </c>
      <c r="D67" s="57">
        <v>41603</v>
      </c>
      <c r="E67" s="57">
        <v>4470.1795340909093</v>
      </c>
      <c r="F67" s="59">
        <v>0.10744849011107153</v>
      </c>
      <c r="H67" s="57">
        <v>44740</v>
      </c>
      <c r="I67" s="57">
        <v>4760.6063345195735</v>
      </c>
      <c r="J67" s="59">
        <v>0.10640604234509551</v>
      </c>
    </row>
    <row r="68" spans="3:10" x14ac:dyDescent="0.2">
      <c r="C68" t="s">
        <v>3287</v>
      </c>
      <c r="D68" s="57">
        <v>46784</v>
      </c>
      <c r="E68" s="57">
        <v>4927.0868612099648</v>
      </c>
      <c r="F68" s="59">
        <v>0.10531563913324993</v>
      </c>
      <c r="H68" s="57">
        <v>47977</v>
      </c>
      <c r="I68" s="57">
        <v>5024.2548007117439</v>
      </c>
      <c r="J68" s="59">
        <v>0.10472215438046864</v>
      </c>
    </row>
    <row r="69" spans="3:10" x14ac:dyDescent="0.2">
      <c r="C69" t="s">
        <v>3288</v>
      </c>
      <c r="D69" s="57">
        <v>50392</v>
      </c>
      <c r="E69" s="57">
        <v>5220.9526832740221</v>
      </c>
      <c r="F69" s="59">
        <v>0.10360677653742702</v>
      </c>
      <c r="H69" s="57">
        <v>54048</v>
      </c>
      <c r="I69" s="57">
        <v>5518.7280284697517</v>
      </c>
      <c r="J69" s="59">
        <v>0.10210790461200696</v>
      </c>
    </row>
    <row r="70" spans="3:10" x14ac:dyDescent="0.2">
      <c r="C70" t="s">
        <v>3289</v>
      </c>
      <c r="D70" s="57">
        <v>49250</v>
      </c>
      <c r="E70" s="57">
        <v>5127.9386120996451</v>
      </c>
      <c r="F70" s="59">
        <v>0.10412058095633797</v>
      </c>
      <c r="H70" s="57">
        <v>51101</v>
      </c>
      <c r="I70" s="57">
        <v>5278.6995978647692</v>
      </c>
      <c r="J70" s="59">
        <v>0.10329934047992738</v>
      </c>
    </row>
    <row r="71" spans="3:10" x14ac:dyDescent="0.2">
      <c r="C71" t="s">
        <v>3290</v>
      </c>
      <c r="D71" s="57">
        <v>37692</v>
      </c>
      <c r="E71" s="57">
        <v>4086.5015454545455</v>
      </c>
      <c r="F71" s="59">
        <v>0.10841827298775723</v>
      </c>
      <c r="H71" s="57">
        <v>38098</v>
      </c>
      <c r="I71" s="57">
        <v>4126.3310681818184</v>
      </c>
      <c r="J71" s="59">
        <v>0.1083083381852543</v>
      </c>
    </row>
    <row r="72" spans="3:10" x14ac:dyDescent="0.2">
      <c r="C72" t="s">
        <v>3291</v>
      </c>
      <c r="D72" s="57">
        <v>51302</v>
      </c>
      <c r="E72" s="57">
        <v>5295.0707259786486</v>
      </c>
      <c r="F72" s="59">
        <v>0.10321372901599643</v>
      </c>
      <c r="H72" s="57">
        <v>50438</v>
      </c>
      <c r="I72" s="57">
        <v>5224.6993096085416</v>
      </c>
      <c r="J72" s="59">
        <v>0.10358656785773705</v>
      </c>
    </row>
    <row r="73" spans="3:10" x14ac:dyDescent="0.2">
      <c r="C73" t="s">
        <v>3292</v>
      </c>
      <c r="D73" s="57">
        <v>65434</v>
      </c>
      <c r="E73" s="57">
        <v>6446.0994946619221</v>
      </c>
      <c r="F73" s="59">
        <v>9.8512997748294806E-2</v>
      </c>
      <c r="H73" s="57">
        <v>66685</v>
      </c>
      <c r="I73" s="57">
        <v>6547.9914412811395</v>
      </c>
      <c r="J73" s="59">
        <v>9.8192868580357501E-2</v>
      </c>
    </row>
    <row r="74" spans="3:10" x14ac:dyDescent="0.2">
      <c r="C74" t="s">
        <v>3293</v>
      </c>
      <c r="D74" s="57">
        <v>39373</v>
      </c>
      <c r="E74" s="57">
        <v>4251.411465909091</v>
      </c>
      <c r="F74" s="59">
        <v>0.10797783927841645</v>
      </c>
      <c r="H74" s="57">
        <v>40474</v>
      </c>
      <c r="I74" s="57">
        <v>4359.4220681818188</v>
      </c>
      <c r="J74" s="59">
        <v>0.10770919771166228</v>
      </c>
    </row>
    <row r="75" spans="3:10" x14ac:dyDescent="0.2">
      <c r="C75" t="s">
        <v>3294</v>
      </c>
      <c r="D75" s="57">
        <v>40351</v>
      </c>
      <c r="E75" s="57">
        <v>4347.3554886363636</v>
      </c>
      <c r="F75" s="59">
        <v>0.10773848203604282</v>
      </c>
      <c r="H75" s="57">
        <v>40523</v>
      </c>
      <c r="I75" s="57">
        <v>4364.2290795454555</v>
      </c>
      <c r="J75" s="59">
        <v>0.10769758111555057</v>
      </c>
    </row>
    <row r="76" spans="3:10" x14ac:dyDescent="0.2">
      <c r="C76" t="s">
        <v>3295</v>
      </c>
      <c r="D76" s="57">
        <v>47214</v>
      </c>
      <c r="E76" s="57">
        <v>4962.109672597865</v>
      </c>
      <c r="F76" s="59">
        <v>0.10509826900067491</v>
      </c>
      <c r="H76" s="57">
        <v>47635</v>
      </c>
      <c r="I76" s="57">
        <v>4996.3994483985771</v>
      </c>
      <c r="J76" s="59">
        <v>0.10488925051744677</v>
      </c>
    </row>
    <row r="77" spans="3:10" x14ac:dyDescent="0.2">
      <c r="C77" t="s">
        <v>3296</v>
      </c>
      <c r="D77" s="57">
        <v>52282</v>
      </c>
      <c r="E77" s="57">
        <v>5374.8901565836304</v>
      </c>
      <c r="F77" s="59">
        <v>0.10280574875834188</v>
      </c>
      <c r="H77" s="57">
        <v>54708</v>
      </c>
      <c r="I77" s="57">
        <v>5572.4839715302496</v>
      </c>
      <c r="J77" s="59">
        <v>0.10185866731611921</v>
      </c>
    </row>
    <row r="78" spans="3:10" x14ac:dyDescent="0.2">
      <c r="C78" t="s">
        <v>3297</v>
      </c>
      <c r="D78" s="57">
        <v>42280</v>
      </c>
      <c r="E78" s="57">
        <v>4536.5947727272733</v>
      </c>
      <c r="F78" s="59">
        <v>0.10729883568418339</v>
      </c>
      <c r="H78" s="57">
        <v>45577</v>
      </c>
      <c r="I78" s="57">
        <v>4828.7786441281141</v>
      </c>
      <c r="J78" s="59">
        <v>0.10594770704803111</v>
      </c>
    </row>
    <row r="79" spans="3:10" x14ac:dyDescent="0.2">
      <c r="C79" t="s">
        <v>3298</v>
      </c>
      <c r="D79" s="57">
        <v>55517</v>
      </c>
      <c r="E79" s="57">
        <v>5638.375725978648</v>
      </c>
      <c r="F79" s="59">
        <v>0.10156124657273714</v>
      </c>
      <c r="H79" s="57">
        <v>60896</v>
      </c>
      <c r="I79" s="57">
        <v>6076.4866619217082</v>
      </c>
      <c r="J79" s="59">
        <v>9.9784660107752693E-2</v>
      </c>
    </row>
    <row r="80" spans="3:10" x14ac:dyDescent="0.2">
      <c r="C80" t="s">
        <v>3299</v>
      </c>
      <c r="D80" s="57">
        <v>62795</v>
      </c>
      <c r="E80" s="57">
        <v>6231.1571708185056</v>
      </c>
      <c r="F80" s="59">
        <v>9.9230148432494711E-2</v>
      </c>
      <c r="H80" s="57">
        <v>63675</v>
      </c>
      <c r="I80" s="57">
        <v>6302.831761565837</v>
      </c>
      <c r="J80" s="59">
        <v>9.8984401438018649E-2</v>
      </c>
    </row>
    <row r="81" spans="2:11" x14ac:dyDescent="0.2">
      <c r="C81" t="s">
        <v>3300</v>
      </c>
      <c r="D81" s="57">
        <v>54997</v>
      </c>
      <c r="E81" s="57">
        <v>5596.0225587188615</v>
      </c>
      <c r="F81" s="59">
        <v>0.10175141478114919</v>
      </c>
      <c r="H81" s="57">
        <v>56280</v>
      </c>
      <c r="I81" s="57">
        <v>5700.5208540925269</v>
      </c>
      <c r="J81" s="59">
        <v>0.10128857238970375</v>
      </c>
    </row>
    <row r="82" spans="2:11" x14ac:dyDescent="0.2">
      <c r="C82" t="s">
        <v>3301</v>
      </c>
      <c r="D82" s="57">
        <v>53274</v>
      </c>
      <c r="E82" s="57">
        <v>5455.686967971531</v>
      </c>
      <c r="F82" s="59">
        <v>0.10240805961578878</v>
      </c>
      <c r="H82" s="57">
        <v>54702</v>
      </c>
      <c r="I82" s="57">
        <v>5571.9952811387902</v>
      </c>
      <c r="J82" s="59">
        <v>0.1018609060205987</v>
      </c>
    </row>
    <row r="83" spans="2:11" x14ac:dyDescent="0.2">
      <c r="C83" t="s">
        <v>3302</v>
      </c>
      <c r="D83" s="57">
        <v>54282</v>
      </c>
      <c r="E83" s="57">
        <v>5537.7869537366551</v>
      </c>
      <c r="F83" s="59">
        <v>0.10201884517402923</v>
      </c>
      <c r="H83" s="57">
        <v>54920</v>
      </c>
      <c r="I83" s="57">
        <v>5589.75103202847</v>
      </c>
      <c r="J83" s="59">
        <v>0.10177988040838437</v>
      </c>
    </row>
    <row r="84" spans="2:11" x14ac:dyDescent="0.2">
      <c r="C84" t="s">
        <v>3303</v>
      </c>
      <c r="D84" s="57">
        <v>60147</v>
      </c>
      <c r="E84" s="57">
        <v>6015.481811387901</v>
      </c>
      <c r="F84" s="59">
        <v>0.10001299834385591</v>
      </c>
      <c r="H84" s="57">
        <v>60807</v>
      </c>
      <c r="I84" s="57">
        <v>6069.2377544483988</v>
      </c>
      <c r="J84" s="59">
        <v>9.9811497927021542E-2</v>
      </c>
    </row>
    <row r="85" spans="2:11" x14ac:dyDescent="0.2">
      <c r="B85" s="687"/>
      <c r="C85" s="687" t="s">
        <v>114</v>
      </c>
      <c r="D85" s="687">
        <v>52919</v>
      </c>
      <c r="E85" s="687">
        <v>5426.7727864768685</v>
      </c>
      <c r="F85" s="752">
        <v>0.10254866468521455</v>
      </c>
      <c r="G85" s="687"/>
      <c r="H85" s="102">
        <v>56266</v>
      </c>
      <c r="I85" s="102">
        <v>5699.3805765124562</v>
      </c>
      <c r="J85" s="752">
        <v>0.10129350898433256</v>
      </c>
      <c r="K85" s="687"/>
    </row>
    <row r="86" spans="2:11" x14ac:dyDescent="0.2">
      <c r="B86" s="687"/>
      <c r="C86" s="687" t="s">
        <v>3304</v>
      </c>
      <c r="D86" s="687"/>
      <c r="E86" s="687"/>
      <c r="F86" s="752">
        <v>0.10937632189710028</v>
      </c>
      <c r="G86" s="687"/>
      <c r="H86" s="687"/>
      <c r="I86" s="687"/>
      <c r="J86" s="752">
        <v>0.10929583238464619</v>
      </c>
      <c r="K86" s="687" t="s">
        <v>3271</v>
      </c>
    </row>
    <row r="87" spans="2:11" x14ac:dyDescent="0.2">
      <c r="B87" s="687"/>
      <c r="C87" s="687" t="s">
        <v>3305</v>
      </c>
      <c r="D87" s="687"/>
      <c r="E87" s="687"/>
      <c r="F87" s="752">
        <v>9.6655379149550358E-2</v>
      </c>
      <c r="G87" s="687"/>
      <c r="H87" s="687"/>
      <c r="I87" s="687"/>
      <c r="J87" s="752">
        <v>9.5440779466377981E-2</v>
      </c>
      <c r="K87" s="687" t="s">
        <v>3235</v>
      </c>
    </row>
    <row r="88" spans="2:11" x14ac:dyDescent="0.2">
      <c r="B88" s="687"/>
      <c r="C88" s="687" t="s">
        <v>3306</v>
      </c>
      <c r="D88" s="687"/>
      <c r="E88" s="687"/>
      <c r="F88" s="752"/>
      <c r="G88" s="687"/>
      <c r="H88" s="687"/>
      <c r="I88" s="687"/>
      <c r="J88" s="752"/>
      <c r="K88" s="687"/>
    </row>
    <row r="89" spans="2:11" x14ac:dyDescent="0.2">
      <c r="B89" s="687"/>
      <c r="C89" s="687" t="s">
        <v>3307</v>
      </c>
      <c r="D89" s="687"/>
      <c r="E89" s="687"/>
      <c r="F89" s="752">
        <v>9.960505194495782E-2</v>
      </c>
      <c r="G89" s="687"/>
      <c r="H89" s="687"/>
      <c r="I89" s="687"/>
      <c r="J89" s="752">
        <v>9.8922994381060711E-2</v>
      </c>
      <c r="K89" s="687"/>
    </row>
    <row r="90" spans="2:11" x14ac:dyDescent="0.2">
      <c r="B90" s="687"/>
      <c r="C90" s="687" t="s">
        <v>3308</v>
      </c>
      <c r="D90" s="687"/>
      <c r="E90" s="687"/>
      <c r="F90" s="752">
        <v>0.10265024276466282</v>
      </c>
      <c r="G90" s="687"/>
      <c r="H90" s="687"/>
      <c r="I90" s="687"/>
      <c r="J90" s="752">
        <v>0.10188568276583355</v>
      </c>
      <c r="K90" s="687"/>
    </row>
    <row r="91" spans="2:11" x14ac:dyDescent="0.2">
      <c r="B91" s="687"/>
      <c r="C91" s="687" t="s">
        <v>3309</v>
      </c>
      <c r="D91" s="687"/>
      <c r="E91" s="687"/>
      <c r="F91" s="752">
        <v>0.10432293413207874</v>
      </c>
      <c r="G91" s="687"/>
      <c r="H91" s="687"/>
      <c r="I91" s="687"/>
      <c r="J91" s="752">
        <v>0.10340060612167498</v>
      </c>
      <c r="K91" s="687"/>
    </row>
    <row r="92" spans="2:11" x14ac:dyDescent="0.2">
      <c r="B92" s="687"/>
      <c r="C92" s="687" t="s">
        <v>3310</v>
      </c>
      <c r="D92" s="687"/>
      <c r="E92" s="687"/>
      <c r="F92" s="752">
        <v>0.10538167636065071</v>
      </c>
      <c r="G92" s="687"/>
      <c r="H92" s="687"/>
      <c r="I92" s="687"/>
      <c r="J92" s="752">
        <v>0.1048381416197961</v>
      </c>
      <c r="K92" s="687"/>
    </row>
    <row r="93" spans="2:11" x14ac:dyDescent="0.2">
      <c r="B93" s="687"/>
      <c r="C93" s="687"/>
      <c r="D93" s="687"/>
      <c r="E93" s="687"/>
      <c r="F93" s="687"/>
      <c r="G93" s="687"/>
      <c r="H93" s="687"/>
      <c r="I93" s="687"/>
      <c r="J93" s="687"/>
      <c r="K93" s="687"/>
    </row>
    <row r="94" spans="2:11" x14ac:dyDescent="0.2">
      <c r="B94" s="687"/>
      <c r="C94" s="687"/>
      <c r="D94" s="687"/>
      <c r="E94" s="687"/>
      <c r="F94" s="687"/>
      <c r="G94" s="687"/>
      <c r="H94" s="687"/>
      <c r="I94" s="687"/>
      <c r="J94" s="687"/>
      <c r="K94" s="687"/>
    </row>
    <row r="95" spans="2:11" x14ac:dyDescent="0.2">
      <c r="C95" t="s">
        <v>3314</v>
      </c>
    </row>
    <row r="96" spans="2:11" x14ac:dyDescent="0.2">
      <c r="C96" t="s">
        <v>3315</v>
      </c>
    </row>
    <row r="97" spans="3:3" x14ac:dyDescent="0.2">
      <c r="C97" t="s">
        <v>3316</v>
      </c>
    </row>
    <row r="98" spans="3:3" x14ac:dyDescent="0.2">
      <c r="C98" t="s">
        <v>3317</v>
      </c>
    </row>
    <row r="99" spans="3:3" x14ac:dyDescent="0.2">
      <c r="C99" t="s">
        <v>3318</v>
      </c>
    </row>
    <row r="100" spans="3:3" x14ac:dyDescent="0.2">
      <c r="C100" t="s">
        <v>3311</v>
      </c>
    </row>
  </sheetData>
  <mergeCells count="1">
    <mergeCell ref="D6:F6"/>
  </mergeCells>
  <hyperlinks>
    <hyperlink ref="H1" location="Index!A1" display="Return to I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H1" sqref="H1"/>
    </sheetView>
  </sheetViews>
  <sheetFormatPr defaultRowHeight="12.75" x14ac:dyDescent="0.2"/>
  <cols>
    <col min="1" max="1" width="44.140625" customWidth="1"/>
    <col min="2" max="2" width="16.5703125" customWidth="1"/>
    <col min="3" max="4" width="12.7109375" customWidth="1"/>
    <col min="5" max="5" width="24.85546875" customWidth="1"/>
    <col min="6" max="6" width="12.7109375" customWidth="1"/>
    <col min="7" max="7" width="23.7109375" customWidth="1"/>
    <col min="8" max="9" width="12.7109375" customWidth="1"/>
    <col min="10" max="10" width="33.28515625" customWidth="1"/>
    <col min="11" max="12" width="12.7109375" customWidth="1"/>
    <col min="13" max="13" width="29.42578125" customWidth="1"/>
    <col min="14" max="15" width="12.7109375" customWidth="1"/>
  </cols>
  <sheetData>
    <row r="1" spans="1:8" x14ac:dyDescent="0.2">
      <c r="A1" t="s">
        <v>162</v>
      </c>
      <c r="B1">
        <v>3</v>
      </c>
      <c r="H1" s="48" t="s">
        <v>3630</v>
      </c>
    </row>
    <row r="2" spans="1:8" x14ac:dyDescent="0.2">
      <c r="A2" t="s">
        <v>633</v>
      </c>
      <c r="B2" t="s">
        <v>3464</v>
      </c>
    </row>
    <row r="4" spans="1:8" x14ac:dyDescent="0.2">
      <c r="A4" t="s">
        <v>3465</v>
      </c>
    </row>
    <row r="6" spans="1:8" s="271" customFormat="1" x14ac:dyDescent="0.2">
      <c r="A6" s="271" t="s">
        <v>3492</v>
      </c>
      <c r="E6" s="271" t="s">
        <v>3474</v>
      </c>
    </row>
    <row r="7" spans="1:8" s="271" customFormat="1" x14ac:dyDescent="0.2">
      <c r="A7" s="271" t="s">
        <v>61</v>
      </c>
      <c r="B7" s="271">
        <v>2004</v>
      </c>
      <c r="C7" s="271">
        <v>2022</v>
      </c>
      <c r="E7" s="765">
        <v>2004</v>
      </c>
      <c r="F7" s="765"/>
      <c r="G7" s="765">
        <v>2022</v>
      </c>
      <c r="H7" s="765"/>
    </row>
    <row r="8" spans="1:8" s="271" customFormat="1" x14ac:dyDescent="0.2">
      <c r="A8" s="271" t="s">
        <v>3471</v>
      </c>
      <c r="B8" s="57">
        <v>100000</v>
      </c>
      <c r="C8" s="57">
        <v>100000</v>
      </c>
      <c r="E8" s="271" t="s">
        <v>3484</v>
      </c>
      <c r="F8" s="57">
        <f>0.005*2000</f>
        <v>10</v>
      </c>
      <c r="G8" s="271" t="s">
        <v>3476</v>
      </c>
      <c r="H8" s="57">
        <f>2000*0.0025</f>
        <v>5</v>
      </c>
    </row>
    <row r="9" spans="1:8" s="271" customFormat="1" x14ac:dyDescent="0.2">
      <c r="A9" s="271" t="s">
        <v>351</v>
      </c>
      <c r="B9" s="57">
        <v>4000</v>
      </c>
      <c r="C9" s="57">
        <v>4000</v>
      </c>
      <c r="E9" s="271" t="s">
        <v>3485</v>
      </c>
      <c r="F9" s="57">
        <f>0.01*3000</f>
        <v>30</v>
      </c>
      <c r="G9" s="271" t="s">
        <v>3477</v>
      </c>
      <c r="H9" s="57">
        <f>3000*0.0075</f>
        <v>22.5</v>
      </c>
    </row>
    <row r="10" spans="1:8" s="271" customFormat="1" x14ac:dyDescent="0.2">
      <c r="A10" s="271" t="s">
        <v>3472</v>
      </c>
      <c r="B10" s="57">
        <v>2000</v>
      </c>
      <c r="C10" s="57">
        <v>12200</v>
      </c>
      <c r="E10" s="271" t="s">
        <v>3486</v>
      </c>
      <c r="F10" s="57">
        <f>0.02*2500</f>
        <v>50</v>
      </c>
      <c r="G10" s="271" t="s">
        <v>3478</v>
      </c>
      <c r="H10" s="57">
        <f>2500*0.0175</f>
        <v>43.750000000000007</v>
      </c>
    </row>
    <row r="11" spans="1:8" s="271" customFormat="1" x14ac:dyDescent="0.2">
      <c r="A11" s="271" t="s">
        <v>3473</v>
      </c>
      <c r="B11" s="57">
        <f>+B8-B9-B10</f>
        <v>94000</v>
      </c>
      <c r="C11" s="57">
        <f>+C8-C9-C10</f>
        <v>83800</v>
      </c>
      <c r="E11" s="271" t="s">
        <v>3487</v>
      </c>
      <c r="F11" s="57">
        <f>0.03*2300</f>
        <v>69</v>
      </c>
      <c r="G11" s="271" t="s">
        <v>3479</v>
      </c>
      <c r="H11" s="57">
        <f>2300*0.0275</f>
        <v>63.25</v>
      </c>
    </row>
    <row r="12" spans="1:8" s="271" customFormat="1" x14ac:dyDescent="0.2">
      <c r="A12" s="271" t="s">
        <v>62</v>
      </c>
      <c r="B12" s="57">
        <f>+F16</f>
        <v>5610</v>
      </c>
      <c r="C12" s="57">
        <f>+H16</f>
        <v>3625.5</v>
      </c>
      <c r="E12" s="271" t="s">
        <v>3488</v>
      </c>
      <c r="F12" s="57">
        <f>0.04*2600</f>
        <v>104</v>
      </c>
      <c r="G12" s="271" t="s">
        <v>3481</v>
      </c>
      <c r="H12" s="57">
        <f>2400*0.0375</f>
        <v>90</v>
      </c>
    </row>
    <row r="13" spans="1:8" s="271" customFormat="1" x14ac:dyDescent="0.2">
      <c r="A13" s="271" t="s">
        <v>3482</v>
      </c>
      <c r="C13" s="43">
        <f>+C12-B12</f>
        <v>-1984.5</v>
      </c>
      <c r="E13" s="271" t="s">
        <v>3489</v>
      </c>
      <c r="F13" s="57">
        <f>0.05*3000</f>
        <v>150</v>
      </c>
      <c r="G13" s="271" t="s">
        <v>3480</v>
      </c>
      <c r="H13" s="57">
        <f>+(C11-(2000+3000+2500+2300+2400))*0.0475</f>
        <v>3401</v>
      </c>
    </row>
    <row r="14" spans="1:8" s="271" customFormat="1" x14ac:dyDescent="0.2">
      <c r="A14" s="271" t="s">
        <v>3483</v>
      </c>
      <c r="C14" s="225">
        <f>+C13/B12</f>
        <v>-0.35374331550802141</v>
      </c>
      <c r="E14" s="271" t="s">
        <v>3490</v>
      </c>
      <c r="F14" s="57">
        <f>0.06*4600</f>
        <v>276</v>
      </c>
    </row>
    <row r="15" spans="1:8" s="271" customFormat="1" x14ac:dyDescent="0.2">
      <c r="E15" s="271" t="s">
        <v>3491</v>
      </c>
      <c r="F15" s="280">
        <f>0.0665*(B11-20000)</f>
        <v>4921</v>
      </c>
      <c r="H15" s="281"/>
    </row>
    <row r="16" spans="1:8" s="271" customFormat="1" x14ac:dyDescent="0.2">
      <c r="F16" s="57">
        <f>SUM(F8:F15)</f>
        <v>5610</v>
      </c>
      <c r="H16" s="43">
        <f>SUM(H8:H15)</f>
        <v>3625.5</v>
      </c>
    </row>
    <row r="17" spans="1:8" s="271" customFormat="1" x14ac:dyDescent="0.2"/>
    <row r="18" spans="1:8" s="271" customFormat="1" x14ac:dyDescent="0.2">
      <c r="E18" s="48" t="s">
        <v>3493</v>
      </c>
      <c r="G18" s="48" t="s">
        <v>3475</v>
      </c>
    </row>
    <row r="19" spans="1:8" s="271" customFormat="1" x14ac:dyDescent="0.2"/>
    <row r="20" spans="1:8" s="271" customFormat="1" x14ac:dyDescent="0.2"/>
    <row r="21" spans="1:8" s="271" customFormat="1" x14ac:dyDescent="0.2">
      <c r="A21" s="271" t="s">
        <v>3494</v>
      </c>
      <c r="E21" s="271" t="s">
        <v>3474</v>
      </c>
    </row>
    <row r="22" spans="1:8" s="271" customFormat="1" x14ac:dyDescent="0.2">
      <c r="A22" s="271" t="s">
        <v>61</v>
      </c>
      <c r="B22" s="271">
        <v>2004</v>
      </c>
      <c r="C22" s="271">
        <v>2021</v>
      </c>
      <c r="E22" s="765">
        <v>2004</v>
      </c>
      <c r="F22" s="765"/>
      <c r="G22" s="765">
        <v>2021</v>
      </c>
      <c r="H22" s="765"/>
    </row>
    <row r="23" spans="1:8" s="271" customFormat="1" x14ac:dyDescent="0.2">
      <c r="A23" s="271" t="s">
        <v>3471</v>
      </c>
      <c r="B23" s="57">
        <v>100000</v>
      </c>
      <c r="C23" s="57">
        <v>100000</v>
      </c>
      <c r="E23" s="271" t="s">
        <v>3496</v>
      </c>
      <c r="F23" s="57">
        <f>0.1*14600</f>
        <v>1460</v>
      </c>
      <c r="G23" s="271" t="s">
        <v>3500</v>
      </c>
      <c r="H23" s="57">
        <f>0.1*19900</f>
        <v>1990</v>
      </c>
    </row>
    <row r="24" spans="1:8" s="271" customFormat="1" x14ac:dyDescent="0.2">
      <c r="A24" s="271" t="s">
        <v>351</v>
      </c>
      <c r="B24" s="57">
        <f>3100*4</f>
        <v>12400</v>
      </c>
      <c r="C24" s="57">
        <v>0</v>
      </c>
      <c r="E24" s="271" t="s">
        <v>3497</v>
      </c>
      <c r="F24" s="57">
        <f>0.15*22400</f>
        <v>3360</v>
      </c>
      <c r="G24" s="271" t="s">
        <v>3501</v>
      </c>
      <c r="H24" s="57">
        <f>(C26-19900)*0.12</f>
        <v>6600</v>
      </c>
    </row>
    <row r="25" spans="1:8" s="271" customFormat="1" x14ac:dyDescent="0.2">
      <c r="A25" s="271" t="s">
        <v>3472</v>
      </c>
      <c r="B25" s="57">
        <v>9700</v>
      </c>
      <c r="C25" s="57">
        <v>25100</v>
      </c>
      <c r="E25" s="271" t="s">
        <v>3498</v>
      </c>
      <c r="F25" s="57">
        <f>0.25*30275</f>
        <v>7568.75</v>
      </c>
      <c r="H25" s="57"/>
    </row>
    <row r="26" spans="1:8" s="271" customFormat="1" x14ac:dyDescent="0.2">
      <c r="A26" s="271" t="s">
        <v>3473</v>
      </c>
      <c r="B26" s="57">
        <f>+B23-B24-B25</f>
        <v>77900</v>
      </c>
      <c r="C26" s="57">
        <f>+C23-C24-C25</f>
        <v>74900</v>
      </c>
      <c r="E26" s="271" t="s">
        <v>3499</v>
      </c>
      <c r="F26" s="57">
        <f>(B26-(14600+22400+30275))*0.28</f>
        <v>2975.0000000000005</v>
      </c>
      <c r="H26" s="57"/>
    </row>
    <row r="27" spans="1:8" s="271" customFormat="1" x14ac:dyDescent="0.2">
      <c r="A27" s="271" t="s">
        <v>62</v>
      </c>
      <c r="B27" s="57">
        <f>+F31</f>
        <v>15363.75</v>
      </c>
      <c r="C27" s="57">
        <f>+H31</f>
        <v>8590</v>
      </c>
      <c r="F27" s="57"/>
      <c r="H27" s="57"/>
    </row>
    <row r="28" spans="1:8" s="271" customFormat="1" x14ac:dyDescent="0.2">
      <c r="A28" s="271" t="s">
        <v>3482</v>
      </c>
      <c r="C28" s="43">
        <f>+C27-B27</f>
        <v>-6773.75</v>
      </c>
      <c r="F28" s="57"/>
      <c r="H28" s="57"/>
    </row>
    <row r="29" spans="1:8" s="271" customFormat="1" x14ac:dyDescent="0.2">
      <c r="A29" s="271" t="s">
        <v>3483</v>
      </c>
      <c r="C29" s="225">
        <f>+C28/B27</f>
        <v>-0.44089170938084776</v>
      </c>
      <c r="F29" s="57"/>
    </row>
    <row r="30" spans="1:8" s="271" customFormat="1" x14ac:dyDescent="0.2">
      <c r="F30" s="280"/>
      <c r="H30" s="281"/>
    </row>
    <row r="31" spans="1:8" s="271" customFormat="1" x14ac:dyDescent="0.2">
      <c r="F31" s="57">
        <f>SUM(F23:F30)</f>
        <v>15363.75</v>
      </c>
      <c r="H31" s="43">
        <f>SUM(H23:H30)</f>
        <v>8590</v>
      </c>
    </row>
    <row r="32" spans="1:8" s="271" customFormat="1" x14ac:dyDescent="0.2"/>
    <row r="33" spans="1:15" x14ac:dyDescent="0.2">
      <c r="A33" s="271"/>
      <c r="B33" s="271"/>
      <c r="C33" s="271"/>
      <c r="D33" s="271"/>
      <c r="E33" s="64" t="s">
        <v>3495</v>
      </c>
      <c r="F33" s="271"/>
      <c r="G33" s="64" t="s">
        <v>3495</v>
      </c>
      <c r="H33" s="271"/>
      <c r="I33" s="242"/>
      <c r="J33" s="242"/>
      <c r="K33" s="242"/>
      <c r="L33" s="242"/>
      <c r="M33" s="242"/>
      <c r="N33" s="242"/>
      <c r="O33" s="242"/>
    </row>
    <row r="34" spans="1:15" s="242" customFormat="1" x14ac:dyDescent="0.2">
      <c r="B34" s="150"/>
      <c r="C34" s="21"/>
      <c r="D34" s="21"/>
      <c r="E34" s="21"/>
      <c r="F34" s="21"/>
    </row>
    <row r="35" spans="1:15" s="242" customFormat="1" ht="16.5" x14ac:dyDescent="0.3">
      <c r="A35" s="768" t="s">
        <v>3466</v>
      </c>
      <c r="B35" s="768"/>
      <c r="C35" s="768"/>
      <c r="D35" s="768"/>
      <c r="E35" s="768"/>
      <c r="F35" s="768"/>
      <c r="G35" s="768"/>
      <c r="H35" s="768"/>
      <c r="I35" s="768"/>
      <c r="J35" s="768"/>
      <c r="K35" s="40"/>
      <c r="L35" s="40"/>
      <c r="M35" s="40"/>
      <c r="N35" s="40"/>
    </row>
    <row r="36" spans="1:15" s="242" customFormat="1" ht="16.5" x14ac:dyDescent="0.3">
      <c r="A36" s="272"/>
      <c r="B36" s="272"/>
      <c r="C36" s="272"/>
      <c r="D36" s="272"/>
      <c r="E36" s="272"/>
      <c r="F36" s="272"/>
      <c r="G36" s="272"/>
      <c r="H36" s="272"/>
      <c r="I36" s="272"/>
      <c r="J36" s="272"/>
      <c r="K36" s="40"/>
      <c r="L36" s="40"/>
      <c r="M36" s="40"/>
      <c r="N36" s="40"/>
    </row>
    <row r="37" spans="1:15" s="242" customFormat="1" ht="15.75" x14ac:dyDescent="0.25">
      <c r="A37" s="273" t="s">
        <v>3467</v>
      </c>
      <c r="B37" s="274" t="s">
        <v>37</v>
      </c>
      <c r="C37" s="274" t="s">
        <v>38</v>
      </c>
      <c r="D37" s="274" t="s">
        <v>39</v>
      </c>
      <c r="E37" s="274" t="s">
        <v>40</v>
      </c>
      <c r="F37" s="274" t="s">
        <v>41</v>
      </c>
      <c r="G37" s="274" t="s">
        <v>42</v>
      </c>
      <c r="H37" s="274" t="s">
        <v>43</v>
      </c>
      <c r="I37" s="71"/>
      <c r="J37" s="71"/>
      <c r="K37" s="40"/>
      <c r="L37" s="40"/>
      <c r="M37" s="40"/>
      <c r="N37" s="40"/>
    </row>
    <row r="38" spans="1:15" ht="15.75" x14ac:dyDescent="0.25">
      <c r="A38" s="72" t="s">
        <v>44</v>
      </c>
      <c r="B38" s="275" t="s">
        <v>45</v>
      </c>
      <c r="C38" s="276">
        <v>22000</v>
      </c>
      <c r="D38" s="276">
        <v>37000</v>
      </c>
      <c r="E38" s="276">
        <v>62000</v>
      </c>
      <c r="F38" s="276">
        <v>101000</v>
      </c>
      <c r="G38" s="276">
        <v>224000</v>
      </c>
      <c r="H38" s="276">
        <v>502000</v>
      </c>
      <c r="I38" s="71"/>
      <c r="J38" s="71"/>
      <c r="K38" s="40"/>
      <c r="L38" s="40"/>
      <c r="M38" s="40"/>
      <c r="N38" s="40"/>
      <c r="O38" s="242"/>
    </row>
    <row r="39" spans="1:15" ht="90" customHeight="1" x14ac:dyDescent="0.25">
      <c r="A39" s="72" t="s">
        <v>46</v>
      </c>
      <c r="B39" s="277">
        <v>22000</v>
      </c>
      <c r="C39" s="277">
        <v>37000</v>
      </c>
      <c r="D39" s="277">
        <v>62000</v>
      </c>
      <c r="E39" s="277">
        <v>101000</v>
      </c>
      <c r="F39" s="277">
        <v>224000</v>
      </c>
      <c r="G39" s="277">
        <v>502000</v>
      </c>
      <c r="H39" s="275" t="s">
        <v>47</v>
      </c>
      <c r="I39" s="71"/>
      <c r="J39" s="71"/>
      <c r="K39" s="40"/>
      <c r="L39" s="40"/>
      <c r="M39" s="40"/>
      <c r="N39" s="40"/>
      <c r="O39" s="40"/>
    </row>
    <row r="40" spans="1:15" ht="15.75" x14ac:dyDescent="0.25">
      <c r="A40" s="278" t="s">
        <v>48</v>
      </c>
      <c r="B40" s="277">
        <v>13000</v>
      </c>
      <c r="C40" s="277">
        <v>29000</v>
      </c>
      <c r="D40" s="277">
        <v>48000</v>
      </c>
      <c r="E40" s="277">
        <v>81000</v>
      </c>
      <c r="F40" s="277">
        <v>145000</v>
      </c>
      <c r="G40" s="277">
        <v>313000</v>
      </c>
      <c r="H40" s="277">
        <v>1275000</v>
      </c>
      <c r="I40" s="71"/>
      <c r="J40" s="71"/>
      <c r="K40" s="40"/>
      <c r="L40" s="40"/>
      <c r="M40" s="40"/>
      <c r="N40" s="40"/>
      <c r="O40" s="40"/>
    </row>
    <row r="41" spans="1:15" ht="16.5" thickBot="1" x14ac:dyDescent="0.3">
      <c r="A41" s="71"/>
      <c r="B41" s="279"/>
      <c r="C41" s="279"/>
      <c r="D41" s="279"/>
      <c r="E41" s="279"/>
      <c r="F41" s="279"/>
      <c r="G41" s="279"/>
      <c r="H41" s="279"/>
      <c r="I41" s="71"/>
      <c r="J41" s="71"/>
      <c r="K41" s="71"/>
      <c r="L41" s="71"/>
      <c r="M41" s="71"/>
      <c r="N41" s="40"/>
      <c r="O41" s="40"/>
    </row>
    <row r="42" spans="1:15" ht="18" x14ac:dyDescent="0.25">
      <c r="A42" s="766" t="s">
        <v>3468</v>
      </c>
      <c r="B42" s="766"/>
      <c r="C42" s="766"/>
      <c r="D42" s="766"/>
      <c r="E42" s="766"/>
      <c r="F42" s="766"/>
      <c r="G42" s="766"/>
      <c r="H42" s="766"/>
      <c r="I42" s="71"/>
      <c r="J42" s="73" t="s">
        <v>3469</v>
      </c>
      <c r="K42" s="40"/>
      <c r="L42" s="40"/>
      <c r="M42" s="40"/>
      <c r="N42" s="40"/>
      <c r="O42" s="40"/>
    </row>
    <row r="43" spans="1:15" ht="15.75" x14ac:dyDescent="0.25">
      <c r="A43" s="72" t="s">
        <v>50</v>
      </c>
      <c r="B43" s="74">
        <v>0</v>
      </c>
      <c r="C43" s="74">
        <v>0</v>
      </c>
      <c r="D43" s="74">
        <v>0</v>
      </c>
      <c r="E43" s="74">
        <v>0</v>
      </c>
      <c r="F43" s="81">
        <v>1.5479684029845666E-5</v>
      </c>
      <c r="G43" s="74">
        <v>6.8631143451208527E-4</v>
      </c>
      <c r="H43" s="74">
        <v>5.0641009284709626E-3</v>
      </c>
      <c r="I43" s="75"/>
      <c r="J43" s="76">
        <v>134000</v>
      </c>
      <c r="K43" s="40"/>
      <c r="L43" s="40"/>
      <c r="M43" s="40"/>
      <c r="N43" s="40"/>
      <c r="O43" s="40"/>
    </row>
    <row r="44" spans="1:15" ht="15.75" x14ac:dyDescent="0.25">
      <c r="A44" s="72" t="s">
        <v>51</v>
      </c>
      <c r="B44" s="77">
        <v>0</v>
      </c>
      <c r="C44" s="77">
        <v>0</v>
      </c>
      <c r="D44" s="77">
        <v>0</v>
      </c>
      <c r="E44" s="77">
        <v>0</v>
      </c>
      <c r="F44" s="77">
        <v>2.246130538225958</v>
      </c>
      <c r="G44" s="77">
        <v>214.88298212945699</v>
      </c>
      <c r="H44" s="77">
        <v>6456.2728108043075</v>
      </c>
      <c r="I44" s="71"/>
      <c r="J44" s="71"/>
      <c r="K44" s="40"/>
      <c r="L44" s="40"/>
      <c r="M44" s="40"/>
      <c r="N44" s="40"/>
      <c r="O44" s="78">
        <v>4.3953737079329815E-3</v>
      </c>
    </row>
    <row r="45" spans="1:15" ht="15.75" x14ac:dyDescent="0.25">
      <c r="A45" s="40"/>
      <c r="B45" s="40"/>
      <c r="C45" s="40"/>
      <c r="D45" s="40"/>
      <c r="E45" s="40"/>
      <c r="F45" s="40"/>
      <c r="G45" s="40"/>
      <c r="H45" s="40"/>
      <c r="I45" s="40"/>
      <c r="J45" s="40"/>
      <c r="K45" s="40"/>
      <c r="L45" s="40"/>
      <c r="M45" s="40"/>
      <c r="N45" s="40"/>
      <c r="O45" s="78">
        <v>0.99560462629206714</v>
      </c>
    </row>
    <row r="46" spans="1:15" ht="15.75" x14ac:dyDescent="0.25">
      <c r="A46" s="72" t="s">
        <v>52</v>
      </c>
      <c r="B46" s="77">
        <v>0</v>
      </c>
      <c r="C46" s="77">
        <v>0</v>
      </c>
      <c r="D46" s="77">
        <v>0</v>
      </c>
      <c r="E46" s="77">
        <v>0</v>
      </c>
      <c r="F46" s="78">
        <v>8.5411031106466737E-3</v>
      </c>
      <c r="G46" s="78">
        <v>0.21064508982357413</v>
      </c>
      <c r="H46" s="78">
        <v>0.94685396596270976</v>
      </c>
      <c r="I46" s="71"/>
      <c r="J46" s="79" t="s">
        <v>53</v>
      </c>
      <c r="K46" s="78">
        <v>1.9159023689242525E-2</v>
      </c>
      <c r="L46" s="40"/>
      <c r="M46" s="40"/>
      <c r="N46" s="40"/>
      <c r="O46" s="40"/>
    </row>
    <row r="47" spans="1:15" ht="90" customHeight="1" x14ac:dyDescent="0.25">
      <c r="A47" s="72" t="s">
        <v>54</v>
      </c>
      <c r="B47" s="77">
        <v>0</v>
      </c>
      <c r="C47" s="77">
        <v>0</v>
      </c>
      <c r="D47" s="77">
        <v>0</v>
      </c>
      <c r="E47" s="77">
        <v>0</v>
      </c>
      <c r="F47" s="77">
        <v>262.97897462754037</v>
      </c>
      <c r="G47" s="77">
        <v>1020.1186379869205</v>
      </c>
      <c r="H47" s="77">
        <v>6818.6574095826054</v>
      </c>
      <c r="I47" s="71"/>
      <c r="J47" s="79" t="s">
        <v>55</v>
      </c>
      <c r="K47" s="78">
        <v>0</v>
      </c>
      <c r="L47" s="40"/>
      <c r="M47" s="79" t="s">
        <v>56</v>
      </c>
      <c r="N47" s="78">
        <v>0</v>
      </c>
      <c r="O47" s="40"/>
    </row>
    <row r="48" spans="1:15" ht="15.75" x14ac:dyDescent="0.25">
      <c r="A48" s="72" t="s">
        <v>57</v>
      </c>
      <c r="B48" s="77">
        <v>0</v>
      </c>
      <c r="C48" s="77">
        <v>0</v>
      </c>
      <c r="D48" s="77">
        <v>0</v>
      </c>
      <c r="E48" s="77">
        <v>0</v>
      </c>
      <c r="F48" s="80">
        <v>4.5968170566917516E-3</v>
      </c>
      <c r="G48" s="78">
        <v>0.1175879992805811</v>
      </c>
      <c r="H48" s="78">
        <v>0.87781518366272715</v>
      </c>
      <c r="I48" s="71"/>
      <c r="J48" s="79" t="s">
        <v>58</v>
      </c>
      <c r="K48" s="78">
        <v>9.5791839481239302E-2</v>
      </c>
      <c r="L48" s="40"/>
      <c r="M48" s="79" t="s">
        <v>59</v>
      </c>
      <c r="N48" s="78">
        <v>1</v>
      </c>
      <c r="O48" s="40"/>
    </row>
    <row r="49" spans="1:15" ht="24" thickBot="1" x14ac:dyDescent="0.4">
      <c r="A49" s="767"/>
      <c r="B49" s="767"/>
      <c r="C49" s="767"/>
      <c r="D49" s="767"/>
      <c r="E49" s="767"/>
      <c r="F49" s="767"/>
      <c r="G49" s="767"/>
      <c r="H49" s="767"/>
      <c r="I49" s="71"/>
      <c r="J49" s="71"/>
      <c r="K49" s="71"/>
      <c r="L49" s="71"/>
      <c r="M49" s="71"/>
      <c r="N49" s="40"/>
      <c r="O49" s="40"/>
    </row>
    <row r="50" spans="1:15" ht="18" x14ac:dyDescent="0.25">
      <c r="A50" s="766" t="s">
        <v>3470</v>
      </c>
      <c r="B50" s="766"/>
      <c r="C50" s="766"/>
      <c r="D50" s="766"/>
      <c r="E50" s="766"/>
      <c r="F50" s="766"/>
      <c r="G50" s="766"/>
      <c r="H50" s="766"/>
      <c r="I50" s="71"/>
      <c r="J50" s="73" t="s">
        <v>3469</v>
      </c>
      <c r="K50" s="40"/>
      <c r="L50" s="40"/>
      <c r="M50" s="40"/>
      <c r="N50" s="40"/>
      <c r="O50" s="40"/>
    </row>
    <row r="51" spans="1:15" ht="15.75" x14ac:dyDescent="0.25">
      <c r="A51" s="72" t="s">
        <v>50</v>
      </c>
      <c r="B51" s="74">
        <v>0</v>
      </c>
      <c r="C51" s="74">
        <v>0</v>
      </c>
      <c r="D51" s="74">
        <v>0</v>
      </c>
      <c r="E51" s="82">
        <v>5.7620748821435361E-5</v>
      </c>
      <c r="F51" s="82">
        <v>2.4470930282472587E-4</v>
      </c>
      <c r="G51" s="74">
        <v>1.8432249285924977E-3</v>
      </c>
      <c r="H51" s="74">
        <v>3.8528869888288029E-3</v>
      </c>
      <c r="I51" s="75"/>
      <c r="J51" s="76">
        <v>143000</v>
      </c>
      <c r="K51" s="40"/>
      <c r="L51" s="40"/>
      <c r="M51" s="40"/>
      <c r="N51" s="40"/>
      <c r="O51" s="40"/>
    </row>
    <row r="52" spans="1:15" ht="15.75" x14ac:dyDescent="0.25">
      <c r="A52" s="72" t="s">
        <v>51</v>
      </c>
      <c r="B52" s="77">
        <v>0</v>
      </c>
      <c r="C52" s="77">
        <v>0</v>
      </c>
      <c r="D52" s="77">
        <v>0</v>
      </c>
      <c r="E52" s="77">
        <v>4.6834305629211848</v>
      </c>
      <c r="F52" s="77">
        <v>35.507768569619856</v>
      </c>
      <c r="G52" s="77">
        <v>577.11069563177557</v>
      </c>
      <c r="H52" s="77">
        <v>4912.0840718685758</v>
      </c>
      <c r="I52" s="71"/>
      <c r="J52" s="71"/>
      <c r="K52" s="40"/>
      <c r="L52" s="40"/>
      <c r="M52" s="40"/>
      <c r="N52" s="40"/>
      <c r="O52" s="78">
        <v>0</v>
      </c>
    </row>
    <row r="53" spans="1:15" ht="15.75" x14ac:dyDescent="0.25">
      <c r="A53" s="40"/>
      <c r="B53" s="40"/>
      <c r="C53" s="40"/>
      <c r="D53" s="40"/>
      <c r="E53" s="40"/>
      <c r="F53" s="40"/>
      <c r="G53" s="40"/>
      <c r="H53" s="40"/>
      <c r="I53" s="40"/>
      <c r="J53" s="40"/>
      <c r="K53" s="40"/>
      <c r="L53" s="40"/>
      <c r="M53" s="40"/>
      <c r="N53" s="40"/>
      <c r="O53" s="78">
        <v>0.99999999999999989</v>
      </c>
    </row>
    <row r="54" spans="1:15" ht="15.75" x14ac:dyDescent="0.25">
      <c r="A54" s="72" t="s">
        <v>52</v>
      </c>
      <c r="B54" s="77">
        <v>0</v>
      </c>
      <c r="C54" s="77">
        <v>0</v>
      </c>
      <c r="D54" s="77">
        <v>0</v>
      </c>
      <c r="E54" s="78">
        <v>7.4780633517274764E-2</v>
      </c>
      <c r="F54" s="78">
        <v>0.16575609740328176</v>
      </c>
      <c r="G54" s="78">
        <v>0.78883960888940363</v>
      </c>
      <c r="H54" s="78">
        <v>0.98517428985141808</v>
      </c>
      <c r="I54" s="71"/>
      <c r="J54" s="79" t="s">
        <v>53</v>
      </c>
      <c r="K54" s="78">
        <v>8.1254679901302099E-2</v>
      </c>
      <c r="L54" s="40"/>
      <c r="M54" s="40"/>
      <c r="N54" s="40"/>
      <c r="O54" s="99"/>
    </row>
    <row r="55" spans="1:15" ht="15.75" x14ac:dyDescent="0.25">
      <c r="A55" s="72" t="s">
        <v>54</v>
      </c>
      <c r="B55" s="77">
        <v>0</v>
      </c>
      <c r="C55" s="77">
        <v>0</v>
      </c>
      <c r="D55" s="77">
        <v>0</v>
      </c>
      <c r="E55" s="77">
        <v>62.62892332731154</v>
      </c>
      <c r="F55" s="77">
        <v>214.2169677368191</v>
      </c>
      <c r="G55" s="77">
        <v>731.594470065064</v>
      </c>
      <c r="H55" s="77">
        <v>4986.0051388566035</v>
      </c>
      <c r="I55" s="71"/>
      <c r="J55" s="79" t="s">
        <v>55</v>
      </c>
      <c r="K55" s="78">
        <v>1.8696411137425414E-2</v>
      </c>
      <c r="L55" s="40"/>
      <c r="M55" s="79" t="s">
        <v>56</v>
      </c>
      <c r="N55" s="78">
        <v>1.1958245474133359E-2</v>
      </c>
      <c r="O55" s="99"/>
    </row>
    <row r="56" spans="1:15" ht="15.75" x14ac:dyDescent="0.25">
      <c r="A56" s="72" t="s">
        <v>57</v>
      </c>
      <c r="B56" s="77">
        <v>0</v>
      </c>
      <c r="C56" s="77">
        <v>0</v>
      </c>
      <c r="D56" s="77">
        <v>0</v>
      </c>
      <c r="E56" s="78">
        <v>1.1958245474133359E-2</v>
      </c>
      <c r="F56" s="78">
        <v>6.7970203491170875E-2</v>
      </c>
      <c r="G56" s="78">
        <v>0.29538814649778233</v>
      </c>
      <c r="H56" s="78">
        <v>0.62468340453691351</v>
      </c>
      <c r="I56" s="71"/>
      <c r="J56" s="79" t="s">
        <v>58</v>
      </c>
      <c r="K56" s="78">
        <v>0.33147704844193648</v>
      </c>
      <c r="L56" s="40"/>
      <c r="M56" s="79" t="s">
        <v>59</v>
      </c>
      <c r="N56" s="78">
        <v>0.98804175452586673</v>
      </c>
    </row>
    <row r="57" spans="1:15" ht="23.25" x14ac:dyDescent="0.35">
      <c r="A57" s="767"/>
      <c r="B57" s="767"/>
      <c r="C57" s="767"/>
      <c r="D57" s="767"/>
      <c r="E57" s="767"/>
      <c r="F57" s="767"/>
      <c r="G57" s="767"/>
      <c r="H57" s="767"/>
      <c r="I57" s="71"/>
      <c r="J57" s="71"/>
      <c r="K57" s="71"/>
      <c r="L57" s="71"/>
      <c r="M57" s="71"/>
      <c r="N57" s="40"/>
    </row>
  </sheetData>
  <mergeCells count="9">
    <mergeCell ref="A50:H50"/>
    <mergeCell ref="A57:H57"/>
    <mergeCell ref="A35:J35"/>
    <mergeCell ref="A42:H42"/>
    <mergeCell ref="E7:F7"/>
    <mergeCell ref="G7:H7"/>
    <mergeCell ref="E22:F22"/>
    <mergeCell ref="G22:H22"/>
    <mergeCell ref="A49:H49"/>
  </mergeCells>
  <hyperlinks>
    <hyperlink ref="E50" r:id="rId1" location="page=2" display="(Treasurer, gross receipts)"/>
    <hyperlink ref="G18" r:id="rId2" location="page=6"/>
    <hyperlink ref="E18" r:id="rId3"/>
    <hyperlink ref="E33" r:id="rId4"/>
    <hyperlink ref="G33" r:id="rId5"/>
    <hyperlink ref="H1" location="Index!A1" display="Return to 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8"/>
  <sheetViews>
    <sheetView workbookViewId="0">
      <selection activeCell="H1" sqref="H1"/>
    </sheetView>
  </sheetViews>
  <sheetFormatPr defaultColWidth="14.42578125" defaultRowHeight="15.75" customHeight="1" x14ac:dyDescent="0.2"/>
  <cols>
    <col min="3" max="3" width="36.42578125" customWidth="1"/>
    <col min="12" max="12" width="37.28515625" customWidth="1"/>
    <col min="15" max="15" width="34.85546875" customWidth="1"/>
  </cols>
  <sheetData>
    <row r="1" spans="1:16" ht="15.75" customHeight="1" x14ac:dyDescent="0.2">
      <c r="A1" s="47" t="s">
        <v>162</v>
      </c>
      <c r="B1">
        <v>3</v>
      </c>
      <c r="H1" s="48" t="s">
        <v>3630</v>
      </c>
    </row>
    <row r="2" spans="1:16" ht="15.75" customHeight="1" x14ac:dyDescent="0.2">
      <c r="A2" t="s">
        <v>633</v>
      </c>
      <c r="B2" t="s">
        <v>3502</v>
      </c>
    </row>
    <row r="3" spans="1:16" s="147" customFormat="1" ht="15.75" customHeight="1" x14ac:dyDescent="0.2"/>
    <row r="4" spans="1:16" s="37" customFormat="1" ht="15.75" customHeight="1" x14ac:dyDescent="0.2">
      <c r="B4" s="47" t="s">
        <v>135</v>
      </c>
      <c r="C4" s="47" t="s">
        <v>296</v>
      </c>
    </row>
    <row r="5" spans="1:16" s="37" customFormat="1" ht="15.75" customHeight="1" x14ac:dyDescent="0.2">
      <c r="B5" s="47"/>
    </row>
    <row r="6" spans="1:16" ht="15.6" customHeight="1" x14ac:dyDescent="0.2">
      <c r="C6" s="22" t="s">
        <v>35</v>
      </c>
      <c r="D6" s="37"/>
      <c r="E6" s="37"/>
      <c r="F6" s="37"/>
      <c r="G6" s="37"/>
      <c r="H6" s="37"/>
      <c r="I6" s="37"/>
      <c r="J6" s="37"/>
      <c r="K6" s="37"/>
      <c r="L6" s="37"/>
      <c r="M6" s="37"/>
      <c r="N6" s="37"/>
      <c r="O6" s="37"/>
      <c r="P6" s="37"/>
    </row>
    <row r="7" spans="1:16" ht="15.75" customHeight="1" x14ac:dyDescent="0.2">
      <c r="C7" s="37"/>
      <c r="D7" s="37"/>
      <c r="E7" s="37"/>
      <c r="F7" s="37"/>
      <c r="G7" s="37"/>
      <c r="H7" s="37"/>
      <c r="I7" s="37"/>
      <c r="J7" s="37"/>
      <c r="K7" s="37"/>
      <c r="L7" s="37"/>
      <c r="M7" s="37"/>
      <c r="N7" s="37"/>
      <c r="O7" s="37"/>
      <c r="P7" s="37"/>
    </row>
    <row r="8" spans="1:16" ht="15.75" customHeight="1" x14ac:dyDescent="0.2">
      <c r="C8" s="83" t="s">
        <v>36</v>
      </c>
      <c r="D8" s="83" t="s">
        <v>37</v>
      </c>
      <c r="E8" s="83" t="s">
        <v>38</v>
      </c>
      <c r="F8" s="83" t="s">
        <v>39</v>
      </c>
      <c r="G8" s="84" t="s">
        <v>40</v>
      </c>
      <c r="H8" s="84" t="s">
        <v>41</v>
      </c>
      <c r="I8" s="84" t="s">
        <v>42</v>
      </c>
      <c r="J8" s="84" t="s">
        <v>43</v>
      </c>
      <c r="K8" s="37"/>
      <c r="L8" s="37"/>
      <c r="M8" s="37"/>
      <c r="N8" s="37"/>
      <c r="O8" s="37"/>
      <c r="P8" s="37"/>
    </row>
    <row r="9" spans="1:16" ht="15.6" customHeight="1" x14ac:dyDescent="0.2">
      <c r="C9" s="83" t="s">
        <v>44</v>
      </c>
      <c r="D9" s="83" t="s">
        <v>45</v>
      </c>
      <c r="E9" s="85">
        <v>22000</v>
      </c>
      <c r="F9" s="86">
        <v>36000</v>
      </c>
      <c r="G9" s="86">
        <v>59000</v>
      </c>
      <c r="H9" s="86">
        <v>95000</v>
      </c>
      <c r="I9" s="86">
        <v>209000</v>
      </c>
      <c r="J9" s="86">
        <v>478000</v>
      </c>
      <c r="K9" s="37"/>
      <c r="L9" s="37"/>
      <c r="M9" s="37"/>
      <c r="N9" s="37"/>
      <c r="O9" s="37"/>
      <c r="P9" s="37"/>
    </row>
    <row r="10" spans="1:16" ht="15.6" customHeight="1" x14ac:dyDescent="0.2">
      <c r="C10" s="83" t="s">
        <v>46</v>
      </c>
      <c r="D10" s="87">
        <v>22000</v>
      </c>
      <c r="E10" s="87">
        <v>36000</v>
      </c>
      <c r="F10" s="88">
        <v>59000</v>
      </c>
      <c r="G10" s="88">
        <v>95000</v>
      </c>
      <c r="H10" s="88">
        <v>209000</v>
      </c>
      <c r="I10" s="88">
        <v>478000</v>
      </c>
      <c r="J10" s="84" t="s">
        <v>47</v>
      </c>
      <c r="K10" s="37"/>
      <c r="L10" s="37"/>
      <c r="M10" s="37"/>
      <c r="N10" s="37"/>
      <c r="O10" s="37"/>
      <c r="P10" s="37"/>
    </row>
    <row r="11" spans="1:16" ht="15.6" customHeight="1" x14ac:dyDescent="0.2">
      <c r="C11" s="83" t="s">
        <v>48</v>
      </c>
      <c r="D11" s="87">
        <v>13000</v>
      </c>
      <c r="E11" s="87">
        <v>28000</v>
      </c>
      <c r="F11" s="88">
        <v>46000</v>
      </c>
      <c r="G11" s="88">
        <v>76000</v>
      </c>
      <c r="H11" s="88">
        <v>135000</v>
      </c>
      <c r="I11" s="88">
        <v>294000</v>
      </c>
      <c r="J11" s="88">
        <v>1228000</v>
      </c>
      <c r="K11" s="37"/>
      <c r="L11" s="37"/>
      <c r="M11" s="37"/>
      <c r="N11" s="37"/>
      <c r="O11" s="37"/>
      <c r="P11" s="37"/>
    </row>
    <row r="12" spans="1:16" ht="15.6" customHeight="1" x14ac:dyDescent="0.2">
      <c r="C12" s="22"/>
      <c r="D12" s="9"/>
      <c r="E12" s="9"/>
      <c r="F12" s="45"/>
      <c r="G12" s="45"/>
      <c r="H12" s="45"/>
      <c r="I12" s="45"/>
      <c r="J12" s="45"/>
      <c r="K12" s="37"/>
      <c r="L12" s="37"/>
      <c r="M12" s="37"/>
      <c r="N12" s="37"/>
      <c r="O12" s="37"/>
      <c r="P12" s="37"/>
    </row>
    <row r="13" spans="1:16" s="147" customFormat="1" ht="15.75" customHeight="1" x14ac:dyDescent="0.25">
      <c r="C13" s="153" t="s">
        <v>338</v>
      </c>
      <c r="D13" s="151"/>
      <c r="E13" s="151"/>
      <c r="F13" s="151"/>
      <c r="G13" s="151"/>
      <c r="H13" s="152"/>
      <c r="I13" s="99"/>
      <c r="J13" s="99"/>
      <c r="K13" s="71"/>
      <c r="L13" s="98"/>
      <c r="M13" s="99"/>
      <c r="N13" s="40"/>
      <c r="O13" s="98"/>
      <c r="P13" s="99"/>
    </row>
    <row r="14" spans="1:16" s="37" customFormat="1" ht="15.75" customHeight="1" thickBot="1" x14ac:dyDescent="0.25">
      <c r="C14" s="89"/>
      <c r="D14" s="90"/>
      <c r="E14" s="90"/>
      <c r="F14" s="90"/>
      <c r="G14" s="90"/>
      <c r="H14" s="91"/>
      <c r="I14" s="92"/>
      <c r="J14" s="92"/>
      <c r="K14" s="89"/>
      <c r="L14" s="89"/>
      <c r="M14" s="92"/>
      <c r="N14" s="89"/>
      <c r="O14" s="89"/>
      <c r="P14" s="92"/>
    </row>
    <row r="15" spans="1:16" ht="15.75" customHeight="1" x14ac:dyDescent="0.25">
      <c r="C15" s="766" t="s">
        <v>720</v>
      </c>
      <c r="D15" s="766"/>
      <c r="E15" s="766"/>
      <c r="F15" s="766"/>
      <c r="G15" s="766"/>
      <c r="H15" s="766"/>
      <c r="I15" s="766"/>
      <c r="J15" s="766"/>
      <c r="K15" s="71"/>
      <c r="L15" s="73" t="s">
        <v>49</v>
      </c>
      <c r="M15" s="40"/>
      <c r="N15" s="40"/>
      <c r="O15" s="40"/>
      <c r="P15" s="40"/>
    </row>
    <row r="16" spans="1:16" ht="15.75" customHeight="1" x14ac:dyDescent="0.25">
      <c r="C16" s="72" t="s">
        <v>50</v>
      </c>
      <c r="D16" s="74">
        <v>0</v>
      </c>
      <c r="E16" s="81">
        <v>1.4917939402843709E-4</v>
      </c>
      <c r="F16" s="81">
        <v>9.8621242047979373E-5</v>
      </c>
      <c r="G16" s="74">
        <v>6.1627467428098412E-4</v>
      </c>
      <c r="H16" s="74">
        <v>8.0062784753580168E-4</v>
      </c>
      <c r="I16" s="74">
        <v>1.6506396603166429E-3</v>
      </c>
      <c r="J16" s="74">
        <v>3.5755344971597071E-3</v>
      </c>
      <c r="K16" s="75"/>
      <c r="L16" s="76">
        <v>165000</v>
      </c>
      <c r="M16" s="40"/>
      <c r="N16" s="40"/>
      <c r="O16" s="40"/>
      <c r="P16" s="40"/>
    </row>
    <row r="17" spans="1:16" ht="15.75" customHeight="1" x14ac:dyDescent="0.25">
      <c r="C17" s="72" t="s">
        <v>51</v>
      </c>
      <c r="D17" s="77">
        <v>0</v>
      </c>
      <c r="E17" s="77">
        <v>4.2361488849946634</v>
      </c>
      <c r="F17" s="77">
        <v>4.5811426810505687</v>
      </c>
      <c r="G17" s="77">
        <v>46.964617244541003</v>
      </c>
      <c r="H17" s="77">
        <v>107.93252802352478</v>
      </c>
      <c r="I17" s="77">
        <v>485.33779863953544</v>
      </c>
      <c r="J17" s="77">
        <v>4390.5981245266203</v>
      </c>
      <c r="K17" s="71"/>
      <c r="L17" s="71"/>
      <c r="M17" s="40"/>
      <c r="N17" s="40"/>
      <c r="O17" s="40"/>
      <c r="P17" s="40"/>
    </row>
    <row r="18" spans="1:16" ht="15.75" customHeight="1" x14ac:dyDescent="0.2">
      <c r="C18" s="40"/>
      <c r="D18" s="40"/>
      <c r="E18" s="40"/>
      <c r="F18" s="40"/>
      <c r="G18" s="40"/>
      <c r="H18" s="40"/>
      <c r="I18" s="40"/>
      <c r="J18" s="40"/>
      <c r="K18" s="130"/>
      <c r="L18" s="40"/>
      <c r="M18" s="40"/>
      <c r="N18" s="40"/>
      <c r="O18" s="40"/>
      <c r="P18" s="40"/>
    </row>
    <row r="19" spans="1:16" ht="15.75" customHeight="1" x14ac:dyDescent="0.25">
      <c r="C19" s="72" t="s">
        <v>721</v>
      </c>
      <c r="D19" s="77">
        <v>0</v>
      </c>
      <c r="E19" s="93">
        <v>8.4594007897075333E-4</v>
      </c>
      <c r="F19" s="78">
        <v>0</v>
      </c>
      <c r="G19" s="93">
        <v>2.4364767771960208E-4</v>
      </c>
      <c r="H19" s="78">
        <v>0</v>
      </c>
      <c r="I19" s="78">
        <v>2.4375639006738455E-2</v>
      </c>
      <c r="J19" s="78">
        <v>8.0297135405660216E-3</v>
      </c>
      <c r="K19" s="71"/>
      <c r="L19" s="79" t="s">
        <v>722</v>
      </c>
      <c r="M19" s="78">
        <v>1.2733408571595939E-3</v>
      </c>
      <c r="N19" s="40"/>
      <c r="O19" s="40"/>
      <c r="P19" s="40"/>
    </row>
    <row r="20" spans="1:16" ht="15.75" customHeight="1" x14ac:dyDescent="0.25">
      <c r="C20" s="72" t="s">
        <v>723</v>
      </c>
      <c r="D20" s="77">
        <v>0</v>
      </c>
      <c r="E20" s="77">
        <v>-315.99999909704792</v>
      </c>
      <c r="F20" s="77">
        <v>0</v>
      </c>
      <c r="G20" s="77">
        <v>-214.87285149438304</v>
      </c>
      <c r="H20" s="77">
        <v>0</v>
      </c>
      <c r="I20" s="77">
        <v>-242.16934968666837</v>
      </c>
      <c r="J20" s="77">
        <v>-70.300971283104914</v>
      </c>
      <c r="K20" s="71"/>
      <c r="L20" s="79" t="s">
        <v>724</v>
      </c>
      <c r="M20" s="78">
        <v>2.7224862582323042E-4</v>
      </c>
      <c r="N20" s="40"/>
      <c r="O20" s="79" t="s">
        <v>725</v>
      </c>
      <c r="P20" s="78">
        <v>0.20847713537332904</v>
      </c>
    </row>
    <row r="21" spans="1:16" ht="15.75" customHeight="1" x14ac:dyDescent="0.25">
      <c r="C21" s="72" t="s">
        <v>726</v>
      </c>
      <c r="D21" s="77">
        <v>0</v>
      </c>
      <c r="E21" s="78">
        <v>0.1745212174085817</v>
      </c>
      <c r="F21" s="78">
        <v>0</v>
      </c>
      <c r="G21" s="78">
        <v>3.3955917964747347E-2</v>
      </c>
      <c r="H21" s="78">
        <v>0</v>
      </c>
      <c r="I21" s="78">
        <v>0.77305702266814214</v>
      </c>
      <c r="J21" s="78">
        <v>1.846584195852867E-2</v>
      </c>
      <c r="K21" s="71"/>
      <c r="L21" s="79" t="s">
        <v>727</v>
      </c>
      <c r="M21" s="78">
        <v>5.2186514785349082E-3</v>
      </c>
      <c r="N21" s="40"/>
      <c r="O21" s="79" t="s">
        <v>728</v>
      </c>
      <c r="P21" s="78">
        <v>0.79152286462667076</v>
      </c>
    </row>
    <row r="22" spans="1:16" ht="15.75" customHeight="1" x14ac:dyDescent="0.2">
      <c r="C22" s="40"/>
      <c r="D22" s="40"/>
      <c r="E22" s="40"/>
      <c r="F22" s="40"/>
      <c r="G22" s="40"/>
      <c r="H22" s="40"/>
      <c r="I22" s="40"/>
      <c r="J22" s="40"/>
      <c r="K22" s="40"/>
      <c r="L22" s="40"/>
      <c r="M22" s="40"/>
      <c r="N22" s="40"/>
      <c r="O22" s="40"/>
      <c r="P22" s="40"/>
    </row>
    <row r="23" spans="1:16" ht="15.75" customHeight="1" x14ac:dyDescent="0.25">
      <c r="C23" s="72" t="s">
        <v>52</v>
      </c>
      <c r="D23" s="93">
        <v>1.4494493325943119E-3</v>
      </c>
      <c r="E23" s="78">
        <v>6.6033225062670665E-3</v>
      </c>
      <c r="F23" s="78">
        <v>3.2105817895732539E-2</v>
      </c>
      <c r="G23" s="78">
        <v>0.10258000846153416</v>
      </c>
      <c r="H23" s="78">
        <v>0.14301319161432877</v>
      </c>
      <c r="I23" s="78">
        <v>0.4584529937600833</v>
      </c>
      <c r="J23" s="78">
        <v>0.78246521112136092</v>
      </c>
      <c r="K23" s="71"/>
      <c r="L23" s="79" t="s">
        <v>53</v>
      </c>
      <c r="M23" s="78">
        <v>7.6342375138574614E-2</v>
      </c>
      <c r="N23" s="40"/>
      <c r="O23" s="40"/>
      <c r="P23" s="40"/>
    </row>
    <row r="24" spans="1:16" ht="15.75" customHeight="1" x14ac:dyDescent="0.25">
      <c r="C24" s="72" t="s">
        <v>54</v>
      </c>
      <c r="D24" s="77">
        <v>41.235293920257881</v>
      </c>
      <c r="E24" s="77">
        <v>681.99999998658836</v>
      </c>
      <c r="F24" s="77">
        <v>142.68886392891079</v>
      </c>
      <c r="G24" s="77">
        <v>458.34438133667345</v>
      </c>
      <c r="H24" s="77">
        <v>754.70330257779381</v>
      </c>
      <c r="I24" s="77">
        <v>1071.5184282187706</v>
      </c>
      <c r="J24" s="77">
        <v>5611.9589200580758</v>
      </c>
      <c r="K24" s="71"/>
      <c r="L24" s="79" t="s">
        <v>55</v>
      </c>
      <c r="M24" s="78">
        <v>3.5574510051635512E-2</v>
      </c>
      <c r="N24" s="40"/>
      <c r="O24" s="79" t="s">
        <v>56</v>
      </c>
      <c r="P24" s="78">
        <v>0.12229828538007734</v>
      </c>
    </row>
    <row r="25" spans="1:16" ht="15.75" customHeight="1" x14ac:dyDescent="0.25">
      <c r="C25" s="72" t="s">
        <v>57</v>
      </c>
      <c r="D25" s="93">
        <v>1.308038202922821E-4</v>
      </c>
      <c r="E25" s="78">
        <v>9.8583328029121994E-3</v>
      </c>
      <c r="F25" s="78">
        <v>1.0059615231266314E-2</v>
      </c>
      <c r="G25" s="78">
        <v>0.10224953352560653</v>
      </c>
      <c r="H25" s="78">
        <v>0.1803541939950962</v>
      </c>
      <c r="I25" s="78">
        <v>0.21570779685297245</v>
      </c>
      <c r="J25" s="78">
        <v>0.48163972377185399</v>
      </c>
      <c r="K25" s="71"/>
      <c r="L25" s="79" t="s">
        <v>58</v>
      </c>
      <c r="M25" s="78">
        <v>0.23700878139325901</v>
      </c>
      <c r="N25" s="40"/>
      <c r="O25" s="79" t="s">
        <v>59</v>
      </c>
      <c r="P25" s="78">
        <v>0.87770171461992263</v>
      </c>
    </row>
    <row r="26" spans="1:16" s="282" customFormat="1" ht="15.75" customHeight="1" x14ac:dyDescent="0.25">
      <c r="C26" s="298"/>
      <c r="D26" s="299"/>
      <c r="E26" s="99"/>
      <c r="F26" s="99"/>
      <c r="G26" s="99"/>
      <c r="H26" s="99"/>
      <c r="I26" s="99"/>
      <c r="J26" s="99"/>
      <c r="K26" s="71"/>
      <c r="L26" s="98"/>
      <c r="M26" s="99"/>
      <c r="N26" s="40"/>
      <c r="O26" s="98"/>
      <c r="P26" s="99"/>
    </row>
    <row r="27" spans="1:16" s="282" customFormat="1" ht="15.75" customHeight="1" x14ac:dyDescent="0.25">
      <c r="C27" s="298"/>
      <c r="D27" s="299"/>
      <c r="E27" s="99"/>
      <c r="F27" s="99"/>
      <c r="G27" s="99"/>
      <c r="H27" s="99"/>
      <c r="I27" s="99"/>
      <c r="J27" s="99"/>
      <c r="K27" s="71"/>
      <c r="L27" s="98"/>
      <c r="M27" s="99"/>
      <c r="N27" s="40"/>
      <c r="O27" s="98"/>
      <c r="P27" s="99"/>
    </row>
    <row r="28" spans="1:16" s="282" customFormat="1" ht="15.75" customHeight="1" x14ac:dyDescent="0.25">
      <c r="A28" s="282" t="s">
        <v>162</v>
      </c>
      <c r="B28" s="282">
        <v>3</v>
      </c>
      <c r="C28" s="298"/>
      <c r="D28" s="299"/>
      <c r="E28" s="99"/>
      <c r="F28" s="99"/>
      <c r="G28" s="99"/>
      <c r="H28" s="99"/>
      <c r="I28" s="99"/>
      <c r="J28" s="99"/>
      <c r="K28" s="71"/>
      <c r="L28" s="98"/>
      <c r="M28" s="99"/>
      <c r="N28" s="40"/>
      <c r="O28" s="98"/>
      <c r="P28" s="99"/>
    </row>
    <row r="29" spans="1:16" s="282" customFormat="1" ht="15.75" customHeight="1" x14ac:dyDescent="0.25">
      <c r="A29" s="282" t="s">
        <v>633</v>
      </c>
      <c r="C29" s="298"/>
      <c r="D29" s="299"/>
      <c r="E29" s="99"/>
      <c r="F29" s="99"/>
      <c r="G29" s="99"/>
      <c r="H29" s="99"/>
      <c r="I29" s="99"/>
      <c r="J29" s="99"/>
      <c r="K29" s="71"/>
      <c r="L29" s="98"/>
      <c r="M29" s="99"/>
      <c r="N29" s="40"/>
      <c r="O29" s="98"/>
      <c r="P29" s="99"/>
    </row>
    <row r="30" spans="1:16" s="282" customFormat="1" ht="15.75" customHeight="1" x14ac:dyDescent="0.25">
      <c r="C30" s="298"/>
      <c r="D30" s="299"/>
      <c r="E30" s="99"/>
      <c r="F30" s="99"/>
      <c r="G30" s="99"/>
      <c r="H30" s="99"/>
      <c r="I30" s="99"/>
      <c r="J30" s="99"/>
      <c r="K30" s="71"/>
      <c r="L30" s="98"/>
      <c r="M30" s="99"/>
      <c r="N30" s="40"/>
      <c r="O30" s="98"/>
      <c r="P30" s="99"/>
    </row>
    <row r="31" spans="1:16" s="37" customFormat="1" ht="15.75" customHeight="1" x14ac:dyDescent="0.2">
      <c r="C31" s="149" t="s">
        <v>298</v>
      </c>
      <c r="D31" s="90"/>
      <c r="E31" s="90"/>
      <c r="F31" s="90"/>
      <c r="G31" s="90"/>
      <c r="H31" s="91"/>
      <c r="I31" s="92"/>
      <c r="J31" s="92"/>
      <c r="K31" s="89"/>
      <c r="L31" s="89"/>
      <c r="M31" s="92"/>
      <c r="N31" s="89"/>
      <c r="O31" s="89"/>
      <c r="P31" s="92"/>
    </row>
    <row r="32" spans="1:16" ht="15.75" customHeight="1" thickBot="1" x14ac:dyDescent="0.25"/>
    <row r="33" spans="3:16" ht="15.75" customHeight="1" x14ac:dyDescent="0.25">
      <c r="C33" s="766" t="s">
        <v>60</v>
      </c>
      <c r="D33" s="766"/>
      <c r="E33" s="766"/>
      <c r="F33" s="766"/>
      <c r="G33" s="766"/>
      <c r="H33" s="766"/>
      <c r="I33" s="766"/>
      <c r="J33" s="766"/>
      <c r="K33" s="71"/>
      <c r="L33" s="73" t="s">
        <v>49</v>
      </c>
      <c r="M33" s="40"/>
      <c r="N33" s="40"/>
      <c r="O33" s="40"/>
      <c r="P33" s="40"/>
    </row>
    <row r="34" spans="3:16" ht="15.75" customHeight="1" x14ac:dyDescent="0.25">
      <c r="C34" s="72" t="s">
        <v>50</v>
      </c>
      <c r="D34" s="74">
        <v>0</v>
      </c>
      <c r="E34" s="74">
        <v>0</v>
      </c>
      <c r="F34" s="74">
        <v>2.8136052091593433E-4</v>
      </c>
      <c r="G34" s="74">
        <v>8.9925307962348373E-4</v>
      </c>
      <c r="H34" s="74">
        <v>1.661214332517949E-3</v>
      </c>
      <c r="I34" s="74">
        <v>1.5205536259592664E-3</v>
      </c>
      <c r="J34" s="74">
        <v>2.3166891987345823E-4</v>
      </c>
      <c r="K34" s="75"/>
      <c r="L34" s="76">
        <v>129000</v>
      </c>
      <c r="M34" s="40"/>
      <c r="N34" s="40"/>
      <c r="O34" s="40"/>
      <c r="P34" s="40"/>
    </row>
    <row r="35" spans="3:16" ht="15.75" customHeight="1" x14ac:dyDescent="0.25">
      <c r="C35" s="72" t="s">
        <v>51</v>
      </c>
      <c r="D35" s="77">
        <v>0</v>
      </c>
      <c r="E35" s="94">
        <v>0</v>
      </c>
      <c r="F35" s="77">
        <v>13.069726808992437</v>
      </c>
      <c r="G35" s="77">
        <v>68.529632082911021</v>
      </c>
      <c r="H35" s="77">
        <v>223.94807156586796</v>
      </c>
      <c r="I35" s="77">
        <v>447.08858467320874</v>
      </c>
      <c r="J35" s="77">
        <v>284.47918092120705</v>
      </c>
      <c r="K35" s="71"/>
      <c r="L35" s="71"/>
      <c r="M35" s="40"/>
      <c r="N35" s="40"/>
      <c r="O35" s="40"/>
      <c r="P35" s="40"/>
    </row>
    <row r="36" spans="3:16" ht="15.75" customHeight="1" x14ac:dyDescent="0.2">
      <c r="C36" s="40"/>
      <c r="D36" s="40"/>
      <c r="E36" s="40"/>
      <c r="F36" s="40"/>
      <c r="G36" s="40"/>
      <c r="H36" s="40"/>
      <c r="I36" s="40"/>
      <c r="J36" s="40"/>
      <c r="K36" s="40"/>
      <c r="L36" s="40"/>
      <c r="M36" s="40"/>
      <c r="N36" s="40"/>
      <c r="O36" s="40"/>
      <c r="P36" s="40"/>
    </row>
    <row r="37" spans="3:16" ht="15.75" customHeight="1" x14ac:dyDescent="0.25">
      <c r="C37" s="72" t="s">
        <v>52</v>
      </c>
      <c r="D37" s="77">
        <v>0</v>
      </c>
      <c r="E37" s="80">
        <v>7.90426589720172E-4</v>
      </c>
      <c r="F37" s="78">
        <v>5.9010144482484768E-2</v>
      </c>
      <c r="G37" s="78">
        <v>0.15528504047267211</v>
      </c>
      <c r="H37" s="78">
        <v>0.20225014863886462</v>
      </c>
      <c r="I37" s="78">
        <v>0.28315967777794365</v>
      </c>
      <c r="J37" s="78">
        <v>0.32723637976396253</v>
      </c>
      <c r="K37" s="71"/>
      <c r="L37" s="79" t="s">
        <v>53</v>
      </c>
      <c r="M37" s="78">
        <v>8.8184291526090516E-2</v>
      </c>
      <c r="N37" s="40"/>
      <c r="O37" s="40"/>
      <c r="P37" s="40"/>
    </row>
    <row r="38" spans="3:16" ht="15.75" customHeight="1" x14ac:dyDescent="0.25">
      <c r="C38" s="72" t="s">
        <v>54</v>
      </c>
      <c r="D38" s="77">
        <v>0</v>
      </c>
      <c r="E38" s="77">
        <v>63.507115064870085</v>
      </c>
      <c r="F38" s="77">
        <v>221.48271155092255</v>
      </c>
      <c r="G38" s="77">
        <v>441.31509303351879</v>
      </c>
      <c r="H38" s="77">
        <v>1107.2826055903022</v>
      </c>
      <c r="I38" s="77">
        <v>1578.9274383332911</v>
      </c>
      <c r="J38" s="77">
        <v>869.338492029534</v>
      </c>
      <c r="K38" s="71"/>
      <c r="L38" s="79" t="s">
        <v>55</v>
      </c>
      <c r="M38" s="78">
        <v>5.3612697885606436E-2</v>
      </c>
      <c r="N38" s="40"/>
      <c r="O38" s="79" t="s">
        <v>56</v>
      </c>
      <c r="P38" s="78">
        <v>0.22812666618622751</v>
      </c>
    </row>
    <row r="39" spans="3:16" ht="15.75" customHeight="1" x14ac:dyDescent="0.25">
      <c r="C39" s="72" t="s">
        <v>57</v>
      </c>
      <c r="D39" s="77">
        <v>0</v>
      </c>
      <c r="E39" s="78">
        <v>1.4095455651999038E-4</v>
      </c>
      <c r="F39" s="78">
        <v>3.6813970770250594E-2</v>
      </c>
      <c r="G39" s="78">
        <v>0.19117174085945693</v>
      </c>
      <c r="H39" s="78">
        <v>0.48002054475769013</v>
      </c>
      <c r="I39" s="78">
        <v>0.25182774041651679</v>
      </c>
      <c r="J39" s="78">
        <v>4.00250486395657E-2</v>
      </c>
      <c r="K39" s="71"/>
      <c r="L39" s="79" t="s">
        <v>58</v>
      </c>
      <c r="M39" s="78">
        <v>0.22443115402106545</v>
      </c>
      <c r="N39" s="40"/>
      <c r="O39" s="79" t="s">
        <v>59</v>
      </c>
      <c r="P39" s="78">
        <v>0.77187333381377266</v>
      </c>
    </row>
    <row r="40" spans="3:16" ht="15.75" customHeight="1" x14ac:dyDescent="0.25">
      <c r="C40" s="95" t="s">
        <v>297</v>
      </c>
      <c r="D40" s="96">
        <f>(D37*D38+E37*E38+F37*F38+G37*G38+H37*H38+I37*I38+J636)/SUM(D37:J37)</f>
        <v>732.37609253846495</v>
      </c>
      <c r="E40" s="97"/>
      <c r="F40" s="97"/>
      <c r="G40" s="97"/>
      <c r="H40" s="97"/>
      <c r="I40" s="97"/>
      <c r="J40" s="97"/>
      <c r="K40" s="71"/>
      <c r="L40" s="98"/>
      <c r="M40" s="99"/>
      <c r="N40" s="40"/>
      <c r="O40" s="98"/>
      <c r="P40" s="99"/>
    </row>
    <row r="41" spans="3:16" ht="15.75" customHeight="1" thickBot="1" x14ac:dyDescent="0.25"/>
    <row r="42" spans="3:16" ht="15.75" customHeight="1" x14ac:dyDescent="0.25">
      <c r="C42" s="766" t="s">
        <v>299</v>
      </c>
      <c r="D42" s="766"/>
      <c r="E42" s="766"/>
      <c r="F42" s="766"/>
      <c r="G42" s="766"/>
      <c r="H42" s="766"/>
      <c r="I42" s="766"/>
      <c r="J42" s="766"/>
      <c r="K42" s="71"/>
      <c r="L42" s="73" t="s">
        <v>49</v>
      </c>
      <c r="M42" s="40"/>
      <c r="N42" s="40"/>
      <c r="O42" s="40"/>
      <c r="P42" s="40"/>
    </row>
    <row r="43" spans="3:16" ht="15.75" customHeight="1" x14ac:dyDescent="0.25">
      <c r="C43" s="72" t="s">
        <v>50</v>
      </c>
      <c r="D43" s="74">
        <v>0</v>
      </c>
      <c r="E43" s="74">
        <v>0</v>
      </c>
      <c r="F43" s="74">
        <v>0</v>
      </c>
      <c r="G43" s="74">
        <v>5.4433081722663607E-4</v>
      </c>
      <c r="H43" s="74">
        <v>1.6286498152622338E-3</v>
      </c>
      <c r="I43" s="74">
        <v>1.5205536259592664E-3</v>
      </c>
      <c r="J43" s="74">
        <v>2.3166891987345823E-4</v>
      </c>
      <c r="K43" s="75"/>
      <c r="L43" s="76">
        <v>113000</v>
      </c>
      <c r="M43" s="40"/>
      <c r="N43" s="40"/>
      <c r="O43" s="40"/>
      <c r="P43" s="40"/>
    </row>
    <row r="44" spans="3:16" ht="15.75" customHeight="1" x14ac:dyDescent="0.25">
      <c r="C44" s="72" t="s">
        <v>51</v>
      </c>
      <c r="D44" s="77">
        <v>0</v>
      </c>
      <c r="E44" s="77">
        <v>0</v>
      </c>
      <c r="F44" s="77">
        <v>0</v>
      </c>
      <c r="G44" s="77">
        <v>41.481971517462348</v>
      </c>
      <c r="H44" s="77">
        <v>219.55805355426253</v>
      </c>
      <c r="I44" s="77">
        <v>447.08858467320874</v>
      </c>
      <c r="J44" s="77">
        <v>284.47918092120705</v>
      </c>
      <c r="K44" s="71"/>
      <c r="L44" s="71"/>
      <c r="M44" s="40"/>
      <c r="N44" s="40"/>
      <c r="O44" s="40"/>
      <c r="P44" s="40"/>
    </row>
    <row r="45" spans="3:16" ht="15.75" customHeight="1" x14ac:dyDescent="0.2">
      <c r="C45" s="40"/>
      <c r="D45" s="40"/>
      <c r="E45" s="40"/>
      <c r="F45" s="40"/>
      <c r="G45" s="40"/>
      <c r="H45" s="40"/>
      <c r="I45" s="40"/>
      <c r="J45" s="40"/>
      <c r="K45" s="40"/>
      <c r="L45" s="40"/>
      <c r="M45" s="40"/>
      <c r="N45" s="40"/>
      <c r="O45" s="40"/>
      <c r="P45" s="40"/>
    </row>
    <row r="46" spans="3:16" ht="15.75" customHeight="1" x14ac:dyDescent="0.25">
      <c r="C46" s="72" t="s">
        <v>52</v>
      </c>
      <c r="D46" s="77">
        <v>0</v>
      </c>
      <c r="E46" s="77">
        <v>0</v>
      </c>
      <c r="F46" s="93">
        <v>3.5862785883004797E-4</v>
      </c>
      <c r="G46" s="78">
        <v>7.9083820577516978E-2</v>
      </c>
      <c r="H46" s="78">
        <v>0.19014668378319646</v>
      </c>
      <c r="I46" s="78">
        <v>0.28315967777794365</v>
      </c>
      <c r="J46" s="78">
        <v>0.32723637976396253</v>
      </c>
      <c r="K46" s="71"/>
      <c r="L46" s="79" t="s">
        <v>53</v>
      </c>
      <c r="M46" s="78">
        <v>5.933078358225316E-2</v>
      </c>
      <c r="N46" s="40"/>
      <c r="O46" s="40"/>
      <c r="P46" s="40"/>
    </row>
    <row r="47" spans="3:16" ht="15.75" customHeight="1" x14ac:dyDescent="0.25">
      <c r="C47" s="72" t="s">
        <v>54</v>
      </c>
      <c r="D47" s="77">
        <v>0</v>
      </c>
      <c r="E47" s="77">
        <v>0</v>
      </c>
      <c r="F47" s="77">
        <v>136.99999673813414</v>
      </c>
      <c r="G47" s="77">
        <v>524.53170843968314</v>
      </c>
      <c r="H47" s="77">
        <v>1154.6772690740199</v>
      </c>
      <c r="I47" s="77">
        <v>1578.9274383332911</v>
      </c>
      <c r="J47" s="77">
        <v>869.338492029534</v>
      </c>
      <c r="K47" s="71"/>
      <c r="L47" s="79" t="s">
        <v>55</v>
      </c>
      <c r="M47" s="78">
        <v>1.9749718808792293E-2</v>
      </c>
      <c r="N47" s="40"/>
      <c r="O47" s="79" t="s">
        <v>56</v>
      </c>
      <c r="P47" s="78">
        <v>0.13190781033281765</v>
      </c>
    </row>
    <row r="48" spans="3:16" ht="15.75" customHeight="1" x14ac:dyDescent="0.25">
      <c r="C48" s="72" t="s">
        <v>57</v>
      </c>
      <c r="D48" s="77">
        <v>0</v>
      </c>
      <c r="E48" s="77">
        <v>0</v>
      </c>
      <c r="F48" s="93">
        <v>1.5756417688121821E-4</v>
      </c>
      <c r="G48" s="78">
        <v>0.13175024615593642</v>
      </c>
      <c r="H48" s="78">
        <v>0.53580729470203381</v>
      </c>
      <c r="I48" s="78">
        <v>0.28671493784331548</v>
      </c>
      <c r="J48" s="78">
        <v>4.5569957121832982E-2</v>
      </c>
      <c r="K48" s="71"/>
      <c r="L48" s="79" t="s">
        <v>58</v>
      </c>
      <c r="M48" s="78">
        <v>0.2153200025252682</v>
      </c>
      <c r="N48" s="40"/>
      <c r="O48" s="79" t="s">
        <v>59</v>
      </c>
      <c r="P48" s="78">
        <v>0.86809218966718227</v>
      </c>
    </row>
  </sheetData>
  <mergeCells count="3">
    <mergeCell ref="C42:J42"/>
    <mergeCell ref="C33:J33"/>
    <mergeCell ref="C15:J15"/>
  </mergeCells>
  <hyperlinks>
    <hyperlink ref="H1" location="Index!A1" display="Return to Inde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H1" sqref="H1"/>
    </sheetView>
  </sheetViews>
  <sheetFormatPr defaultRowHeight="12.75" x14ac:dyDescent="0.2"/>
  <cols>
    <col min="2" max="2" width="30.140625" customWidth="1"/>
    <col min="4" max="4" width="13.140625" bestFit="1" customWidth="1"/>
  </cols>
  <sheetData>
    <row r="1" spans="1:8" s="300" customFormat="1" x14ac:dyDescent="0.2">
      <c r="A1" s="300" t="s">
        <v>162</v>
      </c>
      <c r="B1" s="300">
        <v>1</v>
      </c>
      <c r="H1" s="48" t="s">
        <v>3630</v>
      </c>
    </row>
    <row r="2" spans="1:8" s="300" customFormat="1" x14ac:dyDescent="0.2">
      <c r="A2" s="300" t="s">
        <v>633</v>
      </c>
      <c r="B2" s="300" t="s">
        <v>3532</v>
      </c>
    </row>
    <row r="4" spans="1:8" x14ac:dyDescent="0.2">
      <c r="B4" s="226" t="s">
        <v>3216</v>
      </c>
    </row>
    <row r="6" spans="1:8" x14ac:dyDescent="0.2">
      <c r="B6" t="s">
        <v>3199</v>
      </c>
      <c r="D6" s="148">
        <v>3856971</v>
      </c>
      <c r="E6" s="48" t="s">
        <v>3537</v>
      </c>
    </row>
    <row r="7" spans="1:8" x14ac:dyDescent="0.2">
      <c r="B7" t="s">
        <v>3200</v>
      </c>
      <c r="D7" s="59">
        <f>0.241-0.065</f>
        <v>0.17599999999999999</v>
      </c>
    </row>
    <row r="8" spans="1:8" x14ac:dyDescent="0.2">
      <c r="B8" t="s">
        <v>3201</v>
      </c>
      <c r="D8" s="148">
        <f>+D7*D6</f>
        <v>678826.89599999995</v>
      </c>
    </row>
    <row r="10" spans="1:8" x14ac:dyDescent="0.2">
      <c r="B10" t="s">
        <v>3202</v>
      </c>
      <c r="D10" s="228">
        <v>661772</v>
      </c>
      <c r="E10" t="s">
        <v>3203</v>
      </c>
    </row>
    <row r="12" spans="1:8" x14ac:dyDescent="0.2">
      <c r="B12" t="s">
        <v>3204</v>
      </c>
      <c r="D12" s="225">
        <f>+D10/D8</f>
        <v>0.97487592772104903</v>
      </c>
    </row>
    <row r="13" spans="1:8" x14ac:dyDescent="0.2">
      <c r="B13" t="s">
        <v>3205</v>
      </c>
      <c r="D13" s="225">
        <f>+D10/D6</f>
        <v>0.1715781632789046</v>
      </c>
    </row>
    <row r="15" spans="1:8" x14ac:dyDescent="0.2">
      <c r="B15" s="226" t="s">
        <v>3209</v>
      </c>
    </row>
    <row r="16" spans="1:8" x14ac:dyDescent="0.2">
      <c r="B16" t="s">
        <v>3206</v>
      </c>
      <c r="D16">
        <v>0.161</v>
      </c>
    </row>
    <row r="17" spans="2:5" x14ac:dyDescent="0.2">
      <c r="B17" s="32" t="s">
        <v>3208</v>
      </c>
      <c r="D17" s="208">
        <f>+D16*D6</f>
        <v>620972.33100000001</v>
      </c>
    </row>
    <row r="18" spans="2:5" x14ac:dyDescent="0.2">
      <c r="B18" s="32" t="s">
        <v>3214</v>
      </c>
      <c r="D18" s="148">
        <v>74970</v>
      </c>
      <c r="E18" s="32"/>
    </row>
    <row r="19" spans="2:5" x14ac:dyDescent="0.2">
      <c r="B19" s="32" t="s">
        <v>3207</v>
      </c>
      <c r="D19" s="59">
        <f>+D18/D17</f>
        <v>0.12073001687413348</v>
      </c>
    </row>
    <row r="21" spans="2:5" x14ac:dyDescent="0.2">
      <c r="B21" s="226" t="s">
        <v>3210</v>
      </c>
    </row>
    <row r="22" spans="2:5" x14ac:dyDescent="0.2">
      <c r="B22" s="32" t="s">
        <v>3211</v>
      </c>
      <c r="D22" s="59">
        <v>0.70299999999999996</v>
      </c>
      <c r="E22" s="48" t="s">
        <v>3538</v>
      </c>
    </row>
    <row r="24" spans="2:5" x14ac:dyDescent="0.2">
      <c r="B24" s="226" t="s">
        <v>3217</v>
      </c>
    </row>
    <row r="25" spans="2:5" x14ac:dyDescent="0.2">
      <c r="B25" s="32" t="s">
        <v>3212</v>
      </c>
      <c r="D25">
        <v>0.24099999999999999</v>
      </c>
    </row>
    <row r="26" spans="2:5" x14ac:dyDescent="0.2">
      <c r="B26" s="32" t="s">
        <v>3213</v>
      </c>
      <c r="D26" s="148">
        <f>+D25*D6</f>
        <v>929530.01099999994</v>
      </c>
    </row>
    <row r="27" spans="2:5" x14ac:dyDescent="0.2">
      <c r="B27" s="32" t="s">
        <v>3215</v>
      </c>
      <c r="D27" s="148">
        <v>595835</v>
      </c>
      <c r="E27" s="48" t="s">
        <v>3538</v>
      </c>
    </row>
    <row r="28" spans="2:5" x14ac:dyDescent="0.2">
      <c r="D28" s="59">
        <f>+D27/D26</f>
        <v>0.64100673775878769</v>
      </c>
    </row>
    <row r="29" spans="2:5" s="313" customFormat="1" x14ac:dyDescent="0.2">
      <c r="D29" s="59"/>
    </row>
    <row r="30" spans="2:5" s="313" customFormat="1" x14ac:dyDescent="0.2">
      <c r="B30" s="226" t="s">
        <v>3221</v>
      </c>
    </row>
    <row r="31" spans="2:5" s="313" customFormat="1" x14ac:dyDescent="0.2">
      <c r="B31" s="32" t="s">
        <v>137</v>
      </c>
      <c r="D31" s="42">
        <f>+D6</f>
        <v>3856971</v>
      </c>
    </row>
    <row r="32" spans="2:5" s="313" customFormat="1" x14ac:dyDescent="0.2">
      <c r="B32" s="32" t="s">
        <v>3222</v>
      </c>
      <c r="D32" s="315">
        <v>804641</v>
      </c>
      <c r="E32" s="48" t="s">
        <v>3541</v>
      </c>
    </row>
    <row r="33" spans="2:5" s="313" customFormat="1" x14ac:dyDescent="0.2">
      <c r="B33" s="32" t="s">
        <v>3223</v>
      </c>
      <c r="D33" s="225">
        <f>+D32/D31</f>
        <v>0.20861992480627933</v>
      </c>
    </row>
    <row r="34" spans="2:5" s="313" customFormat="1" x14ac:dyDescent="0.2">
      <c r="B34" s="32"/>
      <c r="D34" s="225"/>
    </row>
    <row r="35" spans="2:5" x14ac:dyDescent="0.2">
      <c r="B35" s="226" t="s">
        <v>3220</v>
      </c>
    </row>
    <row r="36" spans="2:5" x14ac:dyDescent="0.2">
      <c r="B36" s="32" t="s">
        <v>3218</v>
      </c>
      <c r="D36" s="148">
        <f>3956971-251083-262753-280191-0.25*273627</f>
        <v>3094537.25</v>
      </c>
      <c r="E36" s="48" t="s">
        <v>3539</v>
      </c>
    </row>
    <row r="37" spans="2:5" x14ac:dyDescent="0.2">
      <c r="B37" s="32" t="s">
        <v>3219</v>
      </c>
      <c r="D37" s="148">
        <v>2522670</v>
      </c>
      <c r="E37" s="48" t="s">
        <v>3540</v>
      </c>
    </row>
    <row r="38" spans="2:5" x14ac:dyDescent="0.2">
      <c r="B38" s="32" t="s">
        <v>3224</v>
      </c>
      <c r="D38" s="225">
        <f>+D37/D36</f>
        <v>0.81520104500277057</v>
      </c>
    </row>
  </sheetData>
  <hyperlinks>
    <hyperlink ref="E6" r:id="rId1"/>
    <hyperlink ref="E27" r:id="rId2" location="page=11"/>
    <hyperlink ref="E22" r:id="rId3" location="page=42"/>
    <hyperlink ref="E36" r:id="rId4"/>
    <hyperlink ref="E37" r:id="rId5"/>
    <hyperlink ref="E32" r:id="rId6" location="page=9"/>
    <hyperlink ref="H1" location="Index!A1" display="Return to Index"/>
  </hyperlinks>
  <pageMargins left="0.7" right="0.7" top="0.75" bottom="0.75" header="0.3" footer="0.3"/>
  <pageSetup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workbookViewId="0">
      <selection activeCell="H1" sqref="H1"/>
    </sheetView>
  </sheetViews>
  <sheetFormatPr defaultColWidth="8.85546875" defaultRowHeight="12.75" x14ac:dyDescent="0.2"/>
  <cols>
    <col min="1" max="1" width="14.5703125" style="40" customWidth="1"/>
    <col min="2" max="9" width="14.7109375" style="40" customWidth="1"/>
    <col min="10" max="10" width="8.85546875" style="40"/>
    <col min="11" max="12" width="21.7109375" style="132" bestFit="1" customWidth="1"/>
    <col min="13" max="16384" width="8.85546875" style="40"/>
  </cols>
  <sheetData>
    <row r="1" spans="1:27" x14ac:dyDescent="0.2">
      <c r="A1" s="284" t="s">
        <v>162</v>
      </c>
      <c r="B1" s="136">
        <v>3</v>
      </c>
      <c r="C1" s="136"/>
      <c r="D1" s="136"/>
      <c r="E1" s="136"/>
      <c r="F1" s="136"/>
      <c r="G1" s="136"/>
      <c r="H1" s="286" t="s">
        <v>3630</v>
      </c>
      <c r="I1" s="136"/>
      <c r="J1" s="136"/>
      <c r="K1" s="138"/>
      <c r="L1" s="138"/>
    </row>
    <row r="2" spans="1:27" x14ac:dyDescent="0.2">
      <c r="A2" s="284" t="s">
        <v>633</v>
      </c>
      <c r="B2" s="284" t="s">
        <v>3135</v>
      </c>
      <c r="C2" s="136"/>
      <c r="D2" s="136"/>
      <c r="E2" s="136"/>
      <c r="F2" s="136"/>
      <c r="G2" s="136"/>
      <c r="H2" s="136"/>
      <c r="I2" s="136"/>
      <c r="J2" s="136"/>
      <c r="K2" s="138"/>
      <c r="L2" s="138"/>
    </row>
    <row r="3" spans="1:27" x14ac:dyDescent="0.2">
      <c r="A3" s="136"/>
      <c r="B3" s="136"/>
      <c r="C3" s="136"/>
      <c r="D3" s="136"/>
      <c r="E3" s="136"/>
      <c r="F3" s="136"/>
      <c r="G3" s="136"/>
      <c r="H3" s="136"/>
      <c r="I3" s="136"/>
      <c r="J3" s="136"/>
      <c r="K3" s="138"/>
      <c r="L3" s="138"/>
    </row>
    <row r="4" spans="1:27" x14ac:dyDescent="0.2">
      <c r="A4" s="136"/>
      <c r="B4" s="136"/>
      <c r="C4" s="136"/>
      <c r="D4" s="136"/>
      <c r="E4" s="136"/>
      <c r="F4" s="136"/>
      <c r="G4" s="136"/>
      <c r="H4" s="136"/>
      <c r="I4" s="136"/>
      <c r="J4" s="136"/>
      <c r="K4" s="138"/>
      <c r="L4" s="138"/>
    </row>
    <row r="5" spans="1:27" x14ac:dyDescent="0.2">
      <c r="A5" s="284" t="s">
        <v>3136</v>
      </c>
      <c r="B5" s="136"/>
      <c r="C5" s="136"/>
      <c r="D5" s="136"/>
      <c r="E5" s="136"/>
      <c r="F5" s="136"/>
      <c r="G5" s="136"/>
      <c r="H5" s="136"/>
      <c r="I5" s="136"/>
      <c r="J5" s="136"/>
      <c r="K5" s="138"/>
      <c r="L5" s="138"/>
    </row>
    <row r="6" spans="1:27" x14ac:dyDescent="0.2">
      <c r="A6" s="285" t="s">
        <v>135</v>
      </c>
      <c r="B6" s="284" t="s">
        <v>718</v>
      </c>
      <c r="C6" s="136"/>
      <c r="D6" s="136"/>
      <c r="E6" s="136"/>
      <c r="F6" s="136"/>
      <c r="G6" s="136"/>
      <c r="H6" s="286" t="s">
        <v>161</v>
      </c>
      <c r="I6" s="136"/>
      <c r="J6" s="136"/>
      <c r="K6" s="138"/>
      <c r="L6" s="138"/>
    </row>
    <row r="7" spans="1:27" x14ac:dyDescent="0.2">
      <c r="A7" s="287"/>
      <c r="B7" s="136"/>
      <c r="C7" s="136"/>
      <c r="D7" s="136"/>
      <c r="E7" s="136"/>
      <c r="F7" s="136"/>
      <c r="G7" s="136"/>
      <c r="H7" s="136"/>
      <c r="I7" s="136"/>
      <c r="J7" s="136"/>
      <c r="K7" s="138"/>
      <c r="L7" s="138"/>
    </row>
    <row r="8" spans="1:27" x14ac:dyDescent="0.2">
      <c r="A8" s="285"/>
      <c r="B8" s="136"/>
      <c r="C8" s="136"/>
      <c r="D8" s="136"/>
      <c r="E8" s="136"/>
      <c r="F8" s="136"/>
      <c r="G8" s="136"/>
      <c r="H8" s="136"/>
      <c r="I8" s="136"/>
      <c r="J8" s="136"/>
      <c r="K8" s="138"/>
      <c r="L8" s="138"/>
    </row>
    <row r="9" spans="1:27" x14ac:dyDescent="0.2">
      <c r="A9" s="136"/>
      <c r="B9" s="136"/>
      <c r="C9" s="136"/>
      <c r="D9" s="136"/>
      <c r="E9" s="136"/>
      <c r="F9" s="136"/>
      <c r="G9" s="136"/>
      <c r="H9" s="136"/>
      <c r="I9" s="136"/>
      <c r="J9" s="136"/>
      <c r="K9" s="138"/>
      <c r="L9" s="138"/>
    </row>
    <row r="10" spans="1:27" ht="30" x14ac:dyDescent="0.25">
      <c r="A10" s="288" t="s">
        <v>63</v>
      </c>
      <c r="B10" s="134" t="s">
        <v>621</v>
      </c>
      <c r="C10" s="134" t="s">
        <v>622</v>
      </c>
      <c r="D10" s="134" t="s">
        <v>623</v>
      </c>
      <c r="E10" s="134" t="s">
        <v>624</v>
      </c>
      <c r="F10" s="134" t="s">
        <v>251</v>
      </c>
      <c r="G10" s="134" t="s">
        <v>227</v>
      </c>
      <c r="H10" s="134" t="s">
        <v>625</v>
      </c>
      <c r="I10" s="134" t="s">
        <v>223</v>
      </c>
      <c r="J10" s="136"/>
      <c r="K10" s="289" t="s">
        <v>626</v>
      </c>
      <c r="L10" s="289" t="s">
        <v>627</v>
      </c>
    </row>
    <row r="11" spans="1:27" x14ac:dyDescent="0.2">
      <c r="A11" s="136" t="s">
        <v>105</v>
      </c>
      <c r="B11" s="135">
        <v>0</v>
      </c>
      <c r="C11" s="135">
        <v>0.35122948911426938</v>
      </c>
      <c r="D11" s="135">
        <v>0.13994682439039086</v>
      </c>
      <c r="E11" s="135">
        <v>0.1491135572469742</v>
      </c>
      <c r="F11" s="135">
        <v>3.6207824469818767E-2</v>
      </c>
      <c r="G11" s="135">
        <v>0.27046945997244676</v>
      </c>
      <c r="H11" s="135">
        <v>0</v>
      </c>
      <c r="I11" s="135">
        <v>5.3032844806100064E-2</v>
      </c>
      <c r="J11" s="136"/>
      <c r="K11" s="138">
        <f>$F11/(SUM($G11+$F11))</f>
        <v>0.11806490505375264</v>
      </c>
      <c r="L11" s="138">
        <f>$G11/(SUM($G11+$F11))</f>
        <v>0.88193509494624744</v>
      </c>
      <c r="T11" s="133"/>
      <c r="U11" s="133"/>
      <c r="V11" s="133"/>
      <c r="W11" s="133"/>
      <c r="X11" s="133"/>
      <c r="Y11" s="133"/>
      <c r="Z11" s="133"/>
      <c r="AA11" s="133"/>
    </row>
    <row r="12" spans="1:27" x14ac:dyDescent="0.2">
      <c r="A12" s="136" t="s">
        <v>70</v>
      </c>
      <c r="B12" s="135">
        <v>0</v>
      </c>
      <c r="C12" s="135">
        <v>0.15408961140453412</v>
      </c>
      <c r="D12" s="135">
        <v>7.4045536028087389E-2</v>
      </c>
      <c r="E12" s="135">
        <v>8.5087526412638351E-2</v>
      </c>
      <c r="F12" s="135">
        <v>0</v>
      </c>
      <c r="G12" s="135">
        <v>0.1195815641154804</v>
      </c>
      <c r="H12" s="135">
        <v>0.5671957620392597</v>
      </c>
      <c r="I12" s="135">
        <v>0</v>
      </c>
      <c r="J12" s="136"/>
      <c r="K12" s="138">
        <f t="shared" ref="K12:K57" si="0">$F12/(SUM($G12+$F12))</f>
        <v>0</v>
      </c>
      <c r="L12" s="138">
        <f t="shared" ref="L12:L57" si="1">$G12/(SUM($G12+$F12))</f>
        <v>1</v>
      </c>
      <c r="T12" s="133"/>
      <c r="U12" s="133"/>
      <c r="V12" s="133"/>
      <c r="W12" s="133"/>
      <c r="X12" s="133"/>
      <c r="Y12" s="133"/>
      <c r="Z12" s="133"/>
      <c r="AA12" s="133"/>
    </row>
    <row r="13" spans="1:27" x14ac:dyDescent="0.2">
      <c r="A13" s="136" t="s">
        <v>121</v>
      </c>
      <c r="B13" s="135">
        <v>0.52347852462050581</v>
      </c>
      <c r="C13" s="135">
        <v>0.20138234744388575</v>
      </c>
      <c r="D13" s="135">
        <v>0</v>
      </c>
      <c r="E13" s="135">
        <v>0.12360638166730102</v>
      </c>
      <c r="F13" s="135">
        <v>1.7275698800362546E-2</v>
      </c>
      <c r="G13" s="135">
        <v>0.11522545176588704</v>
      </c>
      <c r="H13" s="135">
        <v>7.183373874426635E-5</v>
      </c>
      <c r="I13" s="135">
        <v>1.8959761963313494E-2</v>
      </c>
      <c r="J13" s="136"/>
      <c r="K13" s="138">
        <f t="shared" si="0"/>
        <v>0.13038150028534903</v>
      </c>
      <c r="L13" s="138">
        <f t="shared" si="1"/>
        <v>0.86961849971465099</v>
      </c>
      <c r="T13" s="133"/>
      <c r="U13" s="133"/>
      <c r="V13" s="133"/>
      <c r="W13" s="133"/>
      <c r="X13" s="133"/>
      <c r="Y13" s="133"/>
      <c r="Z13" s="133"/>
      <c r="AA13" s="133"/>
    </row>
    <row r="14" spans="1:27" x14ac:dyDescent="0.2">
      <c r="A14" s="136" t="s">
        <v>94</v>
      </c>
      <c r="B14" s="135">
        <v>0.21886184844997958</v>
      </c>
      <c r="C14" s="135">
        <v>8.5384381073109805E-2</v>
      </c>
      <c r="D14" s="135">
        <v>2.4269255809927315E-4</v>
      </c>
      <c r="E14" s="135">
        <v>3.8938683895489039E-2</v>
      </c>
      <c r="F14" s="135">
        <v>0.54899474462872</v>
      </c>
      <c r="G14" s="135">
        <v>8.1232945637844903E-2</v>
      </c>
      <c r="H14" s="135">
        <v>0</v>
      </c>
      <c r="I14" s="135">
        <v>2.634470375675738E-2</v>
      </c>
      <c r="J14" s="136"/>
      <c r="K14" s="138">
        <f t="shared" si="0"/>
        <v>0.87110540064736586</v>
      </c>
      <c r="L14" s="138">
        <f t="shared" si="1"/>
        <v>0.12889459935263417</v>
      </c>
      <c r="T14" s="133"/>
      <c r="U14" s="133"/>
      <c r="V14" s="133"/>
      <c r="W14" s="133"/>
      <c r="X14" s="133"/>
      <c r="Y14" s="133"/>
      <c r="Z14" s="133"/>
      <c r="AA14" s="133"/>
    </row>
    <row r="15" spans="1:27" x14ac:dyDescent="0.2">
      <c r="A15" s="136" t="s">
        <v>74</v>
      </c>
      <c r="B15" s="135">
        <v>0.20677380474903209</v>
      </c>
      <c r="C15" s="135">
        <v>0.10088991756932433</v>
      </c>
      <c r="D15" s="135">
        <v>1.6212070145186677E-2</v>
      </c>
      <c r="E15" s="135">
        <v>6.00200435519124E-2</v>
      </c>
      <c r="F15" s="135">
        <v>0.54367457484844717</v>
      </c>
      <c r="G15" s="135">
        <v>7.135485282665642E-2</v>
      </c>
      <c r="H15" s="135">
        <v>6.2229424676535784E-4</v>
      </c>
      <c r="I15" s="135">
        <v>4.5244206267550736E-4</v>
      </c>
      <c r="J15" s="136"/>
      <c r="K15" s="138">
        <f t="shared" si="0"/>
        <v>0.8839814005382024</v>
      </c>
      <c r="L15" s="138">
        <f t="shared" si="1"/>
        <v>0.11601859946179753</v>
      </c>
      <c r="T15" s="133"/>
      <c r="U15" s="133"/>
      <c r="V15" s="133"/>
      <c r="W15" s="133"/>
      <c r="X15" s="133"/>
      <c r="Y15" s="133"/>
      <c r="Z15" s="133"/>
      <c r="AA15" s="133"/>
    </row>
    <row r="16" spans="1:27" x14ac:dyDescent="0.2">
      <c r="A16" s="136" t="s">
        <v>85</v>
      </c>
      <c r="B16" s="135">
        <v>0.28443802528479956</v>
      </c>
      <c r="C16" s="135">
        <v>0.18473287636880675</v>
      </c>
      <c r="D16" s="135">
        <v>1.495067286558377E-3</v>
      </c>
      <c r="E16" s="135">
        <v>6.9033651220063372E-2</v>
      </c>
      <c r="F16" s="135">
        <v>0.38378870759412842</v>
      </c>
      <c r="G16" s="135">
        <v>6.4910467952372514E-2</v>
      </c>
      <c r="H16" s="135">
        <v>0</v>
      </c>
      <c r="I16" s="135">
        <v>1.1601204293271038E-2</v>
      </c>
      <c r="J16" s="136"/>
      <c r="K16" s="138">
        <f t="shared" si="0"/>
        <v>0.85533633336117965</v>
      </c>
      <c r="L16" s="138">
        <f t="shared" si="1"/>
        <v>0.14466366663882027</v>
      </c>
      <c r="T16" s="133"/>
      <c r="U16" s="133"/>
      <c r="V16" s="133"/>
      <c r="W16" s="133"/>
      <c r="X16" s="133"/>
      <c r="Y16" s="133"/>
      <c r="Z16" s="133"/>
      <c r="AA16" s="133"/>
    </row>
    <row r="17" spans="1:27" x14ac:dyDescent="0.2">
      <c r="A17" s="136" t="s">
        <v>115</v>
      </c>
      <c r="B17" s="135">
        <v>0</v>
      </c>
      <c r="C17" s="135">
        <v>0.13123046193677451</v>
      </c>
      <c r="D17" s="135">
        <v>1.5908428944578232E-3</v>
      </c>
      <c r="E17" s="135">
        <v>8.5999230201594015E-2</v>
      </c>
      <c r="F17" s="135">
        <v>0.70222570119152683</v>
      </c>
      <c r="G17" s="135">
        <v>6.3618927171171166E-2</v>
      </c>
      <c r="H17" s="135">
        <v>1.2401868299307807E-3</v>
      </c>
      <c r="I17" s="135">
        <v>1.4094649774544917E-2</v>
      </c>
      <c r="J17" s="136"/>
      <c r="K17" s="138">
        <f t="shared" si="0"/>
        <v>0.9169297207095618</v>
      </c>
      <c r="L17" s="138">
        <f t="shared" si="1"/>
        <v>8.3070279290438198E-2</v>
      </c>
      <c r="T17" s="133"/>
      <c r="U17" s="133"/>
      <c r="V17" s="133"/>
      <c r="W17" s="133"/>
      <c r="X17" s="133"/>
      <c r="Y17" s="133"/>
      <c r="Z17" s="133"/>
      <c r="AA17" s="133"/>
    </row>
    <row r="18" spans="1:27" x14ac:dyDescent="0.2">
      <c r="A18" s="136" t="s">
        <v>107</v>
      </c>
      <c r="B18" s="135">
        <v>0.29575584321309806</v>
      </c>
      <c r="C18" s="135">
        <v>0.14039534969076528</v>
      </c>
      <c r="D18" s="135">
        <v>1.4183496325722295E-4</v>
      </c>
      <c r="E18" s="135">
        <v>4.3608397964475999E-2</v>
      </c>
      <c r="F18" s="135">
        <v>0.4252177418346918</v>
      </c>
      <c r="G18" s="135">
        <v>6.3216459551614895E-2</v>
      </c>
      <c r="H18" s="135">
        <v>0</v>
      </c>
      <c r="I18" s="135">
        <v>3.1664372782096765E-2</v>
      </c>
      <c r="J18" s="136"/>
      <c r="K18" s="138">
        <f t="shared" si="0"/>
        <v>0.8705732330533168</v>
      </c>
      <c r="L18" s="138">
        <f t="shared" si="1"/>
        <v>0.12942676694668331</v>
      </c>
      <c r="T18" s="133"/>
      <c r="U18" s="133"/>
      <c r="V18" s="133"/>
      <c r="W18" s="133"/>
      <c r="X18" s="133"/>
      <c r="Y18" s="133"/>
      <c r="Z18" s="133"/>
      <c r="AA18" s="133"/>
    </row>
    <row r="19" spans="1:27" x14ac:dyDescent="0.2">
      <c r="A19" s="136" t="s">
        <v>117</v>
      </c>
      <c r="B19" s="135">
        <v>0.2682621974772747</v>
      </c>
      <c r="C19" s="135">
        <v>0.24842871616472254</v>
      </c>
      <c r="D19" s="135">
        <v>8.4498610829475006E-4</v>
      </c>
      <c r="E19" s="135">
        <v>6.686341004302554E-2</v>
      </c>
      <c r="F19" s="135">
        <v>0.31444443803044225</v>
      </c>
      <c r="G19" s="135">
        <v>6.1076069506549382E-2</v>
      </c>
      <c r="H19" s="135">
        <v>0</v>
      </c>
      <c r="I19" s="135">
        <v>4.0080182669690857E-2</v>
      </c>
      <c r="J19" s="136"/>
      <c r="K19" s="138">
        <f t="shared" si="0"/>
        <v>0.83735623413181259</v>
      </c>
      <c r="L19" s="138">
        <f t="shared" si="1"/>
        <v>0.16264376586818743</v>
      </c>
      <c r="T19" s="133"/>
      <c r="U19" s="133"/>
      <c r="V19" s="133"/>
      <c r="W19" s="133"/>
      <c r="X19" s="133"/>
      <c r="Y19" s="133"/>
      <c r="Z19" s="133"/>
      <c r="AA19" s="133"/>
    </row>
    <row r="20" spans="1:27" x14ac:dyDescent="0.2">
      <c r="A20" s="136" t="s">
        <v>78</v>
      </c>
      <c r="B20" s="135">
        <v>0</v>
      </c>
      <c r="C20" s="135">
        <v>0.13878810514287016</v>
      </c>
      <c r="D20" s="135">
        <v>0</v>
      </c>
      <c r="E20" s="135">
        <v>0.37314827146725388</v>
      </c>
      <c r="F20" s="135">
        <v>0.39157585860247135</v>
      </c>
      <c r="G20" s="135">
        <v>6.038382768846929E-2</v>
      </c>
      <c r="H20" s="135">
        <v>0</v>
      </c>
      <c r="I20" s="135">
        <v>3.6103937098935328E-2</v>
      </c>
      <c r="J20" s="136"/>
      <c r="K20" s="138">
        <f t="shared" si="0"/>
        <v>0.86639554473538083</v>
      </c>
      <c r="L20" s="138">
        <f t="shared" si="1"/>
        <v>0.13360445526461917</v>
      </c>
      <c r="T20" s="133"/>
      <c r="U20" s="133"/>
      <c r="V20" s="133"/>
      <c r="W20" s="133"/>
      <c r="X20" s="133"/>
      <c r="Y20" s="133"/>
      <c r="Z20" s="133"/>
      <c r="AA20" s="133"/>
    </row>
    <row r="21" spans="1:27" x14ac:dyDescent="0.2">
      <c r="A21" s="136" t="s">
        <v>101</v>
      </c>
      <c r="B21" s="135">
        <v>0</v>
      </c>
      <c r="C21" s="135">
        <v>0.21454469141990345</v>
      </c>
      <c r="D21" s="135">
        <v>0.10001232670034606</v>
      </c>
      <c r="E21" s="135">
        <v>0.11955405190186044</v>
      </c>
      <c r="F21" s="135">
        <v>0.44172679753343747</v>
      </c>
      <c r="G21" s="135">
        <v>5.9810644224601306E-2</v>
      </c>
      <c r="H21" s="135">
        <v>6.3101499680626394E-2</v>
      </c>
      <c r="I21" s="135">
        <v>1.2499885392248848E-3</v>
      </c>
      <c r="J21" s="136"/>
      <c r="K21" s="138">
        <f t="shared" si="0"/>
        <v>0.88074540553752667</v>
      </c>
      <c r="L21" s="138">
        <f t="shared" si="1"/>
        <v>0.11925459446247345</v>
      </c>
      <c r="T21" s="133"/>
      <c r="U21" s="133"/>
      <c r="V21" s="133"/>
      <c r="W21" s="133"/>
      <c r="X21" s="133"/>
      <c r="Y21" s="133"/>
      <c r="Z21" s="133"/>
      <c r="AA21" s="133"/>
    </row>
    <row r="22" spans="1:27" x14ac:dyDescent="0.2">
      <c r="A22" s="136" t="s">
        <v>103</v>
      </c>
      <c r="B22" s="135">
        <v>0.35230933343815879</v>
      </c>
      <c r="C22" s="135">
        <v>0.11162110499485174</v>
      </c>
      <c r="D22" s="135">
        <v>2.3919483680329637E-5</v>
      </c>
      <c r="E22" s="135">
        <v>3.6382647211906045E-2</v>
      </c>
      <c r="F22" s="135">
        <v>0.43770726742520477</v>
      </c>
      <c r="G22" s="135">
        <v>5.8165138261105455E-2</v>
      </c>
      <c r="H22" s="135">
        <v>6.0002673790346287E-4</v>
      </c>
      <c r="I22" s="135">
        <v>3.1905624471893958E-3</v>
      </c>
      <c r="J22" s="136"/>
      <c r="K22" s="138">
        <f t="shared" si="0"/>
        <v>0.88270140142079045</v>
      </c>
      <c r="L22" s="138">
        <f t="shared" si="1"/>
        <v>0.11729859857920956</v>
      </c>
      <c r="T22" s="133"/>
      <c r="U22" s="133"/>
      <c r="V22" s="133"/>
      <c r="W22" s="133"/>
      <c r="X22" s="133"/>
      <c r="Y22" s="133"/>
      <c r="Z22" s="133"/>
      <c r="AA22" s="133"/>
    </row>
    <row r="23" spans="1:27" x14ac:dyDescent="0.2">
      <c r="A23" s="136" t="s">
        <v>99</v>
      </c>
      <c r="B23" s="135">
        <v>0.4508865074530094</v>
      </c>
      <c r="C23" s="135">
        <v>0.18669143209027586</v>
      </c>
      <c r="D23" s="135">
        <v>3.7437087886288585E-3</v>
      </c>
      <c r="E23" s="135">
        <v>6.2405496382961383E-2</v>
      </c>
      <c r="F23" s="135">
        <v>0.23482926647513849</v>
      </c>
      <c r="G23" s="135">
        <v>5.5434137782931048E-2</v>
      </c>
      <c r="H23" s="135">
        <v>6.0094510270549493E-3</v>
      </c>
      <c r="I23" s="135">
        <v>0</v>
      </c>
      <c r="J23" s="136"/>
      <c r="K23" s="138">
        <f t="shared" si="0"/>
        <v>0.80902126492788862</v>
      </c>
      <c r="L23" s="138">
        <f t="shared" si="1"/>
        <v>0.19097873507211147</v>
      </c>
      <c r="T23" s="133"/>
      <c r="U23" s="133"/>
      <c r="V23" s="133"/>
      <c r="W23" s="133"/>
      <c r="X23" s="133"/>
      <c r="Y23" s="133"/>
      <c r="Z23" s="133"/>
      <c r="AA23" s="133"/>
    </row>
    <row r="24" spans="1:27" x14ac:dyDescent="0.2">
      <c r="A24" s="136" t="s">
        <v>79</v>
      </c>
      <c r="B24" s="135">
        <v>0.64321422041076204</v>
      </c>
      <c r="C24" s="135">
        <v>0.19350483072636651</v>
      </c>
      <c r="D24" s="135">
        <v>0</v>
      </c>
      <c r="E24" s="135">
        <v>4.6201183067353935E-2</v>
      </c>
      <c r="F24" s="135">
        <v>0</v>
      </c>
      <c r="G24" s="135">
        <v>5.2803229436722325E-2</v>
      </c>
      <c r="H24" s="135">
        <v>7.876207942681397E-4</v>
      </c>
      <c r="I24" s="135">
        <v>6.3488915564526988E-2</v>
      </c>
      <c r="J24" s="136"/>
      <c r="K24" s="138">
        <f t="shared" si="0"/>
        <v>0</v>
      </c>
      <c r="L24" s="138">
        <f t="shared" si="1"/>
        <v>1</v>
      </c>
      <c r="T24" s="133"/>
      <c r="U24" s="133"/>
      <c r="V24" s="133"/>
      <c r="W24" s="133"/>
      <c r="X24" s="133"/>
      <c r="Y24" s="133"/>
      <c r="Z24" s="133"/>
      <c r="AA24" s="133"/>
    </row>
    <row r="25" spans="1:27" x14ac:dyDescent="0.2">
      <c r="A25" s="136" t="s">
        <v>68</v>
      </c>
      <c r="B25" s="135">
        <v>0.25207485778444672</v>
      </c>
      <c r="C25" s="135">
        <v>0.24855998018013895</v>
      </c>
      <c r="D25" s="135">
        <v>3.6749597058570532E-2</v>
      </c>
      <c r="E25" s="135">
        <v>4.7215084296369156E-2</v>
      </c>
      <c r="F25" s="135">
        <v>0.35392092154032306</v>
      </c>
      <c r="G25" s="135">
        <v>5.2237526815651504E-2</v>
      </c>
      <c r="H25" s="135">
        <v>5.0799700458872476E-3</v>
      </c>
      <c r="I25" s="135">
        <v>4.1620622786128665E-3</v>
      </c>
      <c r="J25" s="136"/>
      <c r="K25" s="138">
        <f t="shared" si="0"/>
        <v>0.87138633450296143</v>
      </c>
      <c r="L25" s="138">
        <f t="shared" si="1"/>
        <v>0.12861366549703851</v>
      </c>
      <c r="T25" s="133"/>
      <c r="U25" s="133"/>
      <c r="V25" s="133"/>
      <c r="W25" s="133"/>
      <c r="X25" s="133"/>
      <c r="Y25" s="133"/>
      <c r="Z25" s="133"/>
      <c r="AA25" s="133"/>
    </row>
    <row r="26" spans="1:27" x14ac:dyDescent="0.2">
      <c r="A26" s="136" t="s">
        <v>97</v>
      </c>
      <c r="B26" s="135">
        <v>0.21838234927812819</v>
      </c>
      <c r="C26" s="135">
        <v>0.17921369250395983</v>
      </c>
      <c r="D26" s="135">
        <v>3.0658823875776391E-2</v>
      </c>
      <c r="E26" s="135">
        <v>5.5294679806538967E-2</v>
      </c>
      <c r="F26" s="135">
        <v>0.4450732764218211</v>
      </c>
      <c r="G26" s="135">
        <v>5.0828938128929003E-2</v>
      </c>
      <c r="H26" s="135">
        <v>1.8587155209357112E-3</v>
      </c>
      <c r="I26" s="135">
        <v>1.8689524463910791E-2</v>
      </c>
      <c r="J26" s="136"/>
      <c r="K26" s="138">
        <f t="shared" si="0"/>
        <v>0.89750209489389721</v>
      </c>
      <c r="L26" s="138">
        <f t="shared" si="1"/>
        <v>0.10249790510610278</v>
      </c>
      <c r="T26" s="133"/>
      <c r="U26" s="133"/>
      <c r="V26" s="133"/>
      <c r="W26" s="133"/>
      <c r="X26" s="133"/>
      <c r="Y26" s="133"/>
      <c r="Z26" s="133"/>
      <c r="AA26" s="133"/>
    </row>
    <row r="27" spans="1:27" x14ac:dyDescent="0.2">
      <c r="A27" s="136" t="s">
        <v>124</v>
      </c>
      <c r="B27" s="135">
        <v>0.27974317766696122</v>
      </c>
      <c r="C27" s="135">
        <v>0.12690346173745062</v>
      </c>
      <c r="D27" s="135">
        <v>0</v>
      </c>
      <c r="E27" s="135">
        <v>4.1829477842773015E-2</v>
      </c>
      <c r="F27" s="135">
        <v>0.49652251375189721</v>
      </c>
      <c r="G27" s="135">
        <v>4.9869326032326834E-2</v>
      </c>
      <c r="H27" s="135">
        <v>5.1296794049890352E-3</v>
      </c>
      <c r="I27" s="135">
        <v>2.3635636020659538E-6</v>
      </c>
      <c r="J27" s="136"/>
      <c r="K27" s="138">
        <f t="shared" si="0"/>
        <v>0.90872973862124162</v>
      </c>
      <c r="L27" s="138">
        <f t="shared" si="1"/>
        <v>9.1270261378758447E-2</v>
      </c>
      <c r="T27" s="133"/>
      <c r="U27" s="133"/>
      <c r="V27" s="133"/>
      <c r="W27" s="133"/>
      <c r="X27" s="133"/>
      <c r="Y27" s="133"/>
      <c r="Z27" s="133"/>
      <c r="AA27" s="133"/>
    </row>
    <row r="28" spans="1:27" x14ac:dyDescent="0.2">
      <c r="A28" s="136" t="s">
        <v>83</v>
      </c>
      <c r="B28" s="135">
        <v>0.36936827491528579</v>
      </c>
      <c r="C28" s="135">
        <v>0.12484368422387863</v>
      </c>
      <c r="D28" s="135">
        <v>0</v>
      </c>
      <c r="E28" s="135">
        <v>7.5732428229840235E-2</v>
      </c>
      <c r="F28" s="135">
        <v>0.37865677851000717</v>
      </c>
      <c r="G28" s="135">
        <v>4.9668145448800306E-2</v>
      </c>
      <c r="H28" s="135">
        <v>1.1267729968015981E-3</v>
      </c>
      <c r="I28" s="135">
        <v>6.0391567538624921E-4</v>
      </c>
      <c r="J28" s="136"/>
      <c r="K28" s="138">
        <f t="shared" si="0"/>
        <v>0.88404096359898732</v>
      </c>
      <c r="L28" s="138">
        <f>$G28/(SUM($G28+$F28))</f>
        <v>0.11595903640101259</v>
      </c>
      <c r="T28" s="133"/>
      <c r="U28" s="133"/>
      <c r="V28" s="133"/>
      <c r="W28" s="133"/>
      <c r="X28" s="133"/>
      <c r="Y28" s="133"/>
      <c r="Z28" s="133"/>
      <c r="AA28" s="133"/>
    </row>
    <row r="29" spans="1:27" x14ac:dyDescent="0.2">
      <c r="A29" s="136" t="s">
        <v>129</v>
      </c>
      <c r="B29" s="135">
        <v>0.29261034921489593</v>
      </c>
      <c r="C29" s="135">
        <v>0.14664308870828033</v>
      </c>
      <c r="D29" s="135">
        <v>8.7204086405065079E-3</v>
      </c>
      <c r="E29" s="135">
        <v>6.3063835967153273E-2</v>
      </c>
      <c r="F29" s="135">
        <v>0.4349086527511255</v>
      </c>
      <c r="G29" s="135">
        <v>4.85765058385485E-2</v>
      </c>
      <c r="H29" s="135">
        <v>5.6912129368894265E-4</v>
      </c>
      <c r="I29" s="135">
        <v>4.9080375858010237E-3</v>
      </c>
      <c r="J29" s="136"/>
      <c r="K29" s="138">
        <f t="shared" si="0"/>
        <v>0.89952844471949012</v>
      </c>
      <c r="L29" s="138">
        <f t="shared" si="1"/>
        <v>0.10047155528050984</v>
      </c>
      <c r="T29" s="133"/>
      <c r="U29" s="133"/>
      <c r="V29" s="133"/>
      <c r="W29" s="133"/>
      <c r="X29" s="133"/>
      <c r="Y29" s="133"/>
      <c r="Z29" s="133"/>
      <c r="AA29" s="133"/>
    </row>
    <row r="30" spans="1:27" x14ac:dyDescent="0.2">
      <c r="A30" s="136" t="s">
        <v>628</v>
      </c>
      <c r="B30" s="135">
        <v>0.30881419634488994</v>
      </c>
      <c r="C30" s="135">
        <v>0.16082694379650633</v>
      </c>
      <c r="D30" s="135">
        <v>1.7064644665764649E-2</v>
      </c>
      <c r="E30" s="135">
        <v>5.5887980656649835E-2</v>
      </c>
      <c r="F30" s="135">
        <v>0.38121897309119951</v>
      </c>
      <c r="G30" s="135">
        <v>4.6574634038515722E-2</v>
      </c>
      <c r="H30" s="135">
        <v>1.2340908115298029E-2</v>
      </c>
      <c r="I30" s="135">
        <v>1.7271719291175949E-2</v>
      </c>
      <c r="J30" s="136"/>
      <c r="K30" s="138">
        <f t="shared" si="0"/>
        <v>0.89112826077273888</v>
      </c>
      <c r="L30" s="138">
        <f t="shared" si="1"/>
        <v>0.10887173922726105</v>
      </c>
      <c r="T30" s="133"/>
      <c r="U30" s="133"/>
      <c r="V30" s="133"/>
      <c r="W30" s="133"/>
      <c r="X30" s="133"/>
      <c r="Y30" s="133"/>
      <c r="Z30" s="133"/>
      <c r="AA30" s="133"/>
    </row>
    <row r="31" spans="1:27" x14ac:dyDescent="0.2">
      <c r="A31" s="136" t="s">
        <v>93</v>
      </c>
      <c r="B31" s="135">
        <v>0.2102898835900614</v>
      </c>
      <c r="C31" s="135">
        <v>0.21630432053953449</v>
      </c>
      <c r="D31" s="135">
        <v>3.6061963958948298E-2</v>
      </c>
      <c r="E31" s="135">
        <v>3.7941391901212811E-2</v>
      </c>
      <c r="F31" s="135">
        <v>0.4239425832311241</v>
      </c>
      <c r="G31" s="135">
        <v>4.6068279104368538E-2</v>
      </c>
      <c r="H31" s="135">
        <v>0</v>
      </c>
      <c r="I31" s="135">
        <v>2.9391577674750348E-2</v>
      </c>
      <c r="J31" s="136"/>
      <c r="K31" s="138">
        <f t="shared" si="0"/>
        <v>0.90198465015158491</v>
      </c>
      <c r="L31" s="138">
        <f t="shared" si="1"/>
        <v>9.8015349848415007E-2</v>
      </c>
      <c r="T31" s="133"/>
      <c r="U31" s="133"/>
      <c r="V31" s="133"/>
      <c r="W31" s="133"/>
      <c r="X31" s="133"/>
      <c r="Y31" s="133"/>
      <c r="Z31" s="133"/>
      <c r="AA31" s="133"/>
    </row>
    <row r="32" spans="1:27" x14ac:dyDescent="0.2">
      <c r="A32" s="136" t="s">
        <v>89</v>
      </c>
      <c r="B32" s="135">
        <v>0.34609444640554576</v>
      </c>
      <c r="C32" s="135">
        <v>0.12472443617173939</v>
      </c>
      <c r="D32" s="135">
        <v>7.4883285376550646E-2</v>
      </c>
      <c r="E32" s="135">
        <v>4.5379546423457519E-2</v>
      </c>
      <c r="F32" s="135">
        <v>0.35757327855750465</v>
      </c>
      <c r="G32" s="135">
        <v>4.5875838894539424E-2</v>
      </c>
      <c r="H32" s="135">
        <v>5.4691681706625994E-3</v>
      </c>
      <c r="I32" s="135">
        <v>0</v>
      </c>
      <c r="J32" s="136"/>
      <c r="K32" s="138">
        <f t="shared" si="0"/>
        <v>0.88629089292779906</v>
      </c>
      <c r="L32" s="138">
        <f t="shared" si="1"/>
        <v>0.11370910707220086</v>
      </c>
      <c r="T32" s="133"/>
      <c r="U32" s="133"/>
      <c r="V32" s="133"/>
      <c r="W32" s="133"/>
      <c r="X32" s="133"/>
      <c r="Y32" s="133"/>
      <c r="Z32" s="133"/>
      <c r="AA32" s="133"/>
    </row>
    <row r="33" spans="1:27" x14ac:dyDescent="0.2">
      <c r="A33" s="136" t="s">
        <v>75</v>
      </c>
      <c r="B33" s="135">
        <v>0.21698769978617458</v>
      </c>
      <c r="C33" s="135">
        <v>0.16891565836926423</v>
      </c>
      <c r="D33" s="135">
        <v>0</v>
      </c>
      <c r="E33" s="135">
        <v>5.51829135855781E-2</v>
      </c>
      <c r="F33" s="135">
        <v>0.5073795810816224</v>
      </c>
      <c r="G33" s="135">
        <v>4.4594532606264323E-2</v>
      </c>
      <c r="H33" s="135">
        <v>6.9396145710963249E-3</v>
      </c>
      <c r="I33" s="135">
        <v>0</v>
      </c>
      <c r="J33" s="136"/>
      <c r="K33" s="138">
        <f t="shared" si="0"/>
        <v>0.91920901451643022</v>
      </c>
      <c r="L33" s="138">
        <f t="shared" si="1"/>
        <v>8.0790985483569722E-2</v>
      </c>
      <c r="T33" s="133"/>
      <c r="U33" s="133"/>
      <c r="V33" s="133"/>
      <c r="W33" s="133"/>
      <c r="X33" s="133"/>
      <c r="Y33" s="133"/>
      <c r="Z33" s="133"/>
      <c r="AA33" s="133"/>
    </row>
    <row r="34" spans="1:27" x14ac:dyDescent="0.2">
      <c r="A34" s="136" t="s">
        <v>88</v>
      </c>
      <c r="B34" s="135">
        <v>0.32510239401773111</v>
      </c>
      <c r="C34" s="135">
        <v>0.13949415571027549</v>
      </c>
      <c r="D34" s="135">
        <v>1.6563446624268471E-4</v>
      </c>
      <c r="E34" s="135">
        <v>9.4613162736110895E-2</v>
      </c>
      <c r="F34" s="135">
        <v>0.38630556833140373</v>
      </c>
      <c r="G34" s="135">
        <v>4.3930007295449859E-2</v>
      </c>
      <c r="H34" s="135">
        <v>0</v>
      </c>
      <c r="I34" s="135">
        <v>1.0389077442786228E-2</v>
      </c>
      <c r="J34" s="136"/>
      <c r="K34" s="138">
        <f t="shared" si="0"/>
        <v>0.89789313161413065</v>
      </c>
      <c r="L34" s="138">
        <f t="shared" si="1"/>
        <v>0.1021068683858693</v>
      </c>
      <c r="T34" s="133"/>
      <c r="U34" s="133"/>
      <c r="V34" s="133"/>
      <c r="W34" s="133"/>
      <c r="X34" s="133"/>
      <c r="Y34" s="133"/>
      <c r="Z34" s="133"/>
      <c r="AA34" s="133"/>
    </row>
    <row r="35" spans="1:27" x14ac:dyDescent="0.2">
      <c r="A35" s="136" t="s">
        <v>80</v>
      </c>
      <c r="B35" s="135">
        <v>0.25160239313530636</v>
      </c>
      <c r="C35" s="135">
        <v>0.13534649492786996</v>
      </c>
      <c r="D35" s="135">
        <v>3.9300481177637465E-2</v>
      </c>
      <c r="E35" s="135">
        <v>3.0480741243198287E-2</v>
      </c>
      <c r="F35" s="135">
        <v>0.49332808247936344</v>
      </c>
      <c r="G35" s="135">
        <v>4.2550474504618366E-2</v>
      </c>
      <c r="H35" s="135">
        <v>0</v>
      </c>
      <c r="I35" s="135">
        <v>7.3913325320061297E-3</v>
      </c>
      <c r="J35" s="136"/>
      <c r="K35" s="138">
        <f t="shared" si="0"/>
        <v>0.92059679576637687</v>
      </c>
      <c r="L35" s="138">
        <f t="shared" si="1"/>
        <v>7.9403204233623154E-2</v>
      </c>
      <c r="T35" s="133"/>
      <c r="U35" s="133"/>
      <c r="V35" s="133"/>
      <c r="W35" s="133"/>
      <c r="X35" s="133"/>
      <c r="Y35" s="133"/>
      <c r="Z35" s="133"/>
      <c r="AA35" s="133"/>
    </row>
    <row r="36" spans="1:27" x14ac:dyDescent="0.2">
      <c r="A36" s="136" t="s">
        <v>90</v>
      </c>
      <c r="B36" s="135">
        <v>0.29855779077394057</v>
      </c>
      <c r="C36" s="135">
        <v>0.17527647249537104</v>
      </c>
      <c r="D36" s="135">
        <v>5.4801297183989676E-2</v>
      </c>
      <c r="E36" s="135">
        <v>4.1418179315537269E-2</v>
      </c>
      <c r="F36" s="135">
        <v>0.3730594686388109</v>
      </c>
      <c r="G36" s="135">
        <v>4.24008517434123E-2</v>
      </c>
      <c r="H36" s="135">
        <v>1.0196708615361398E-2</v>
      </c>
      <c r="I36" s="135">
        <v>4.2892312335768663E-3</v>
      </c>
      <c r="J36" s="136"/>
      <c r="K36" s="138">
        <f t="shared" si="0"/>
        <v>0.89794247569923513</v>
      </c>
      <c r="L36" s="138">
        <f t="shared" si="1"/>
        <v>0.10205752430076487</v>
      </c>
      <c r="T36" s="133"/>
      <c r="U36" s="133"/>
      <c r="V36" s="133"/>
      <c r="W36" s="133"/>
      <c r="X36" s="133"/>
      <c r="Y36" s="133"/>
      <c r="Z36" s="133"/>
      <c r="AA36" s="133"/>
    </row>
    <row r="37" spans="1:27" x14ac:dyDescent="0.2">
      <c r="A37" s="136" t="s">
        <v>92</v>
      </c>
      <c r="B37" s="135">
        <v>0.34668795764416527</v>
      </c>
      <c r="C37" s="135">
        <v>0.16350944717219665</v>
      </c>
      <c r="D37" s="135">
        <v>8.9121014856827774E-3</v>
      </c>
      <c r="E37" s="135">
        <v>6.3744832940041241E-2</v>
      </c>
      <c r="F37" s="135">
        <v>0.3639151940130122</v>
      </c>
      <c r="G37" s="135">
        <v>4.2111198576530527E-2</v>
      </c>
      <c r="H37" s="135">
        <v>0</v>
      </c>
      <c r="I37" s="135">
        <v>1.1119268168371336E-2</v>
      </c>
      <c r="J37" s="136"/>
      <c r="K37" s="138">
        <f t="shared" si="0"/>
        <v>0.89628457818233198</v>
      </c>
      <c r="L37" s="138">
        <f t="shared" si="1"/>
        <v>0.10371542181766809</v>
      </c>
      <c r="T37" s="133"/>
      <c r="U37" s="133"/>
      <c r="V37" s="133"/>
      <c r="W37" s="133"/>
      <c r="X37" s="133"/>
      <c r="Y37" s="133"/>
      <c r="Z37" s="133"/>
      <c r="AA37" s="133"/>
    </row>
    <row r="38" spans="1:27" x14ac:dyDescent="0.2">
      <c r="A38" s="136" t="s">
        <v>109</v>
      </c>
      <c r="B38" s="135">
        <v>0.16738173760413794</v>
      </c>
      <c r="C38" s="135">
        <v>0.13077718856866685</v>
      </c>
      <c r="D38" s="135">
        <v>0</v>
      </c>
      <c r="E38" s="135">
        <v>2.0009114637260149E-2</v>
      </c>
      <c r="F38" s="135">
        <v>0.59563881175678657</v>
      </c>
      <c r="G38" s="135">
        <v>4.0861363150687793E-2</v>
      </c>
      <c r="H38" s="135">
        <v>0</v>
      </c>
      <c r="I38" s="135">
        <v>4.5331784282460735E-2</v>
      </c>
      <c r="J38" s="136"/>
      <c r="K38" s="138">
        <f t="shared" si="0"/>
        <v>0.93580306060932716</v>
      </c>
      <c r="L38" s="138">
        <f t="shared" si="1"/>
        <v>6.4196939390672836E-2</v>
      </c>
      <c r="T38" s="133"/>
      <c r="U38" s="133"/>
      <c r="V38" s="133"/>
      <c r="W38" s="133"/>
      <c r="X38" s="133"/>
      <c r="Y38" s="133"/>
      <c r="Z38" s="133"/>
      <c r="AA38" s="133"/>
    </row>
    <row r="39" spans="1:27" x14ac:dyDescent="0.2">
      <c r="A39" s="136" t="s">
        <v>76</v>
      </c>
      <c r="B39" s="135">
        <v>0.23742970603687608</v>
      </c>
      <c r="C39" s="135">
        <v>0.16607982349372888</v>
      </c>
      <c r="D39" s="135">
        <v>0</v>
      </c>
      <c r="E39" s="135">
        <v>2.4968405220246338E-2</v>
      </c>
      <c r="F39" s="135">
        <v>0.51008939298455702</v>
      </c>
      <c r="G39" s="135">
        <v>4.0784687766537965E-2</v>
      </c>
      <c r="H39" s="135">
        <v>0</v>
      </c>
      <c r="I39" s="135">
        <v>2.0647984498053742E-2</v>
      </c>
      <c r="J39" s="136"/>
      <c r="K39" s="138">
        <f t="shared" si="0"/>
        <v>0.92596368355009606</v>
      </c>
      <c r="L39" s="138">
        <f t="shared" si="1"/>
        <v>7.4036316449903869E-2</v>
      </c>
      <c r="T39" s="133"/>
      <c r="U39" s="133"/>
      <c r="V39" s="133"/>
      <c r="W39" s="133"/>
      <c r="X39" s="133"/>
      <c r="Y39" s="133"/>
      <c r="Z39" s="133"/>
      <c r="AA39" s="133"/>
    </row>
    <row r="40" spans="1:27" x14ac:dyDescent="0.2">
      <c r="A40" s="136" t="s">
        <v>119</v>
      </c>
      <c r="B40" s="135">
        <v>0.31309857275232378</v>
      </c>
      <c r="C40" s="135">
        <v>0.15591877078654071</v>
      </c>
      <c r="D40" s="135">
        <v>3.5353232804706232E-3</v>
      </c>
      <c r="E40" s="135">
        <v>5.5193241843486542E-2</v>
      </c>
      <c r="F40" s="135">
        <v>0.42010082183138431</v>
      </c>
      <c r="G40" s="135">
        <v>4.0193757478604937E-2</v>
      </c>
      <c r="H40" s="135">
        <v>0</v>
      </c>
      <c r="I40" s="135">
        <v>1.1959512027189137E-2</v>
      </c>
      <c r="J40" s="136"/>
      <c r="K40" s="138">
        <f t="shared" si="0"/>
        <v>0.91267818635001541</v>
      </c>
      <c r="L40" s="138">
        <f t="shared" si="1"/>
        <v>8.7321813649984606E-2</v>
      </c>
      <c r="T40" s="133"/>
      <c r="U40" s="133"/>
      <c r="V40" s="133"/>
      <c r="W40" s="133"/>
      <c r="X40" s="133"/>
      <c r="Y40" s="133"/>
      <c r="Z40" s="133"/>
      <c r="AA40" s="133"/>
    </row>
    <row r="41" spans="1:27" x14ac:dyDescent="0.2">
      <c r="A41" s="136" t="s">
        <v>73</v>
      </c>
      <c r="B41" s="135">
        <v>0.35538062777114654</v>
      </c>
      <c r="C41" s="135">
        <v>0.13582104063395004</v>
      </c>
      <c r="D41" s="135">
        <v>0.12321169200216231</v>
      </c>
      <c r="E41" s="135">
        <v>4.1638605762593019E-2</v>
      </c>
      <c r="F41" s="135">
        <v>0.29118405213440829</v>
      </c>
      <c r="G41" s="135">
        <v>3.9698174562206721E-2</v>
      </c>
      <c r="H41" s="135">
        <v>5.5525794375451904E-3</v>
      </c>
      <c r="I41" s="135">
        <v>7.5132276959878688E-3</v>
      </c>
      <c r="J41" s="136"/>
      <c r="K41" s="138">
        <f t="shared" si="0"/>
        <v>0.880023248880618</v>
      </c>
      <c r="L41" s="138">
        <f t="shared" si="1"/>
        <v>0.11997675111938202</v>
      </c>
      <c r="T41" s="133"/>
      <c r="U41" s="133"/>
      <c r="V41" s="133"/>
      <c r="W41" s="133"/>
      <c r="X41" s="133"/>
      <c r="Y41" s="133"/>
      <c r="Z41" s="133"/>
      <c r="AA41" s="133"/>
    </row>
    <row r="42" spans="1:27" x14ac:dyDescent="0.2">
      <c r="A42" s="136" t="s">
        <v>126</v>
      </c>
      <c r="B42" s="135">
        <v>0.17355217021738914</v>
      </c>
      <c r="C42" s="135">
        <v>0.12816671589454953</v>
      </c>
      <c r="D42" s="135">
        <v>1.3576337716275232E-3</v>
      </c>
      <c r="E42" s="135">
        <v>3.741053729857189E-2</v>
      </c>
      <c r="F42" s="135">
        <v>0.60051628398480028</v>
      </c>
      <c r="G42" s="135">
        <v>3.6693022102993016E-2</v>
      </c>
      <c r="H42" s="135">
        <v>1.1473261255993023E-4</v>
      </c>
      <c r="I42" s="135">
        <v>2.2188904117508672E-2</v>
      </c>
      <c r="J42" s="136"/>
      <c r="K42" s="138">
        <f t="shared" si="0"/>
        <v>0.94241606054331939</v>
      </c>
      <c r="L42" s="138">
        <f t="shared" si="1"/>
        <v>5.7583939456680715E-2</v>
      </c>
      <c r="T42" s="133"/>
      <c r="U42" s="133"/>
      <c r="V42" s="133"/>
      <c r="W42" s="133"/>
      <c r="X42" s="133"/>
      <c r="Y42" s="133"/>
      <c r="Z42" s="133"/>
      <c r="AA42" s="133"/>
    </row>
    <row r="43" spans="1:27" x14ac:dyDescent="0.2">
      <c r="A43" s="136" t="s">
        <v>87</v>
      </c>
      <c r="B43" s="135">
        <v>0.40185274895260459</v>
      </c>
      <c r="C43" s="135">
        <v>0.22293504356842311</v>
      </c>
      <c r="D43" s="135">
        <v>6.6641306505726733E-4</v>
      </c>
      <c r="E43" s="135">
        <v>3.8618345851110833E-2</v>
      </c>
      <c r="F43" s="135">
        <v>0.29983030618966128</v>
      </c>
      <c r="G43" s="135">
        <v>3.6020690715722066E-2</v>
      </c>
      <c r="H43" s="135">
        <v>5.5366877997331562E-5</v>
      </c>
      <c r="I43" s="135">
        <v>2.1084779423564813E-5</v>
      </c>
      <c r="J43" s="136"/>
      <c r="K43" s="138">
        <f t="shared" si="0"/>
        <v>0.89274800120402831</v>
      </c>
      <c r="L43" s="138">
        <f t="shared" si="1"/>
        <v>0.10725199879597169</v>
      </c>
      <c r="T43" s="133"/>
      <c r="U43" s="133"/>
      <c r="V43" s="133"/>
      <c r="W43" s="133"/>
      <c r="X43" s="133"/>
      <c r="Y43" s="133"/>
      <c r="Z43" s="133"/>
      <c r="AA43" s="133"/>
    </row>
    <row r="44" spans="1:27" x14ac:dyDescent="0.2">
      <c r="A44" s="136" t="s">
        <v>96</v>
      </c>
      <c r="B44" s="135">
        <v>0.32299394910136275</v>
      </c>
      <c r="C44" s="135">
        <v>0.15860304655500831</v>
      </c>
      <c r="D44" s="135">
        <v>7.0842055395896233E-2</v>
      </c>
      <c r="E44" s="135">
        <v>6.3857707728055269E-2</v>
      </c>
      <c r="F44" s="135">
        <v>0.3356084582845994</v>
      </c>
      <c r="G44" s="135">
        <v>3.589255417555863E-2</v>
      </c>
      <c r="H44" s="135">
        <v>1.0297832780987481E-3</v>
      </c>
      <c r="I44" s="135">
        <v>1.1172445481420651E-2</v>
      </c>
      <c r="J44" s="136"/>
      <c r="K44" s="138">
        <f t="shared" si="0"/>
        <v>0.90338504345420056</v>
      </c>
      <c r="L44" s="138">
        <f t="shared" si="1"/>
        <v>9.6614956545799338E-2</v>
      </c>
      <c r="T44" s="133"/>
      <c r="U44" s="133"/>
      <c r="V44" s="133"/>
      <c r="W44" s="133"/>
      <c r="X44" s="133"/>
      <c r="Y44" s="133"/>
      <c r="Z44" s="133"/>
      <c r="AA44" s="133"/>
    </row>
    <row r="45" spans="1:27" x14ac:dyDescent="0.2">
      <c r="A45" s="136" t="s">
        <v>118</v>
      </c>
      <c r="B45" s="135">
        <v>0.30115615400074647</v>
      </c>
      <c r="C45" s="135">
        <v>0.18175303608854182</v>
      </c>
      <c r="D45" s="135">
        <v>7.7631994487669027E-4</v>
      </c>
      <c r="E45" s="135">
        <v>2.9342252591082658E-2</v>
      </c>
      <c r="F45" s="135">
        <v>0.38160029858459421</v>
      </c>
      <c r="G45" s="135">
        <v>3.3911745284373115E-2</v>
      </c>
      <c r="H45" s="135">
        <v>0</v>
      </c>
      <c r="I45" s="135">
        <v>7.1460193505785072E-2</v>
      </c>
      <c r="J45" s="136"/>
      <c r="K45" s="138">
        <f t="shared" si="0"/>
        <v>0.91838565022421526</v>
      </c>
      <c r="L45" s="138">
        <f t="shared" si="1"/>
        <v>8.1614349775784745E-2</v>
      </c>
      <c r="T45" s="133"/>
      <c r="U45" s="133"/>
      <c r="V45" s="133"/>
      <c r="W45" s="133"/>
      <c r="X45" s="133"/>
      <c r="Y45" s="133"/>
      <c r="Z45" s="133"/>
      <c r="AA45" s="133"/>
    </row>
    <row r="46" spans="1:27" x14ac:dyDescent="0.2">
      <c r="A46" s="136" t="s">
        <v>125</v>
      </c>
      <c r="B46" s="135">
        <v>0.12109105601889758</v>
      </c>
      <c r="C46" s="135">
        <v>0.2124180668168591</v>
      </c>
      <c r="D46" s="135">
        <v>0.32451036483121926</v>
      </c>
      <c r="E46" s="135">
        <v>3.8488157501710446E-2</v>
      </c>
      <c r="F46" s="135">
        <v>0.24947392555517561</v>
      </c>
      <c r="G46" s="135">
        <v>3.3742754392124062E-2</v>
      </c>
      <c r="H46" s="135">
        <v>0</v>
      </c>
      <c r="I46" s="135">
        <v>2.0275674884013946E-2</v>
      </c>
      <c r="J46" s="136"/>
      <c r="K46" s="138">
        <f t="shared" si="0"/>
        <v>0.8808588731482806</v>
      </c>
      <c r="L46" s="138">
        <f t="shared" si="1"/>
        <v>0.11914112685171947</v>
      </c>
      <c r="T46" s="133"/>
      <c r="U46" s="133"/>
      <c r="V46" s="133"/>
      <c r="W46" s="133"/>
      <c r="X46" s="133"/>
      <c r="Y46" s="133"/>
      <c r="Z46" s="133"/>
      <c r="AA46" s="133"/>
    </row>
    <row r="47" spans="1:27" x14ac:dyDescent="0.2">
      <c r="A47" s="136" t="s">
        <v>91</v>
      </c>
      <c r="B47" s="135">
        <v>0.37443304912638015</v>
      </c>
      <c r="C47" s="135">
        <v>0.22997906439744856</v>
      </c>
      <c r="D47" s="135">
        <v>5.2979101552904353E-3</v>
      </c>
      <c r="E47" s="135">
        <v>3.4613476724043968E-2</v>
      </c>
      <c r="F47" s="135">
        <v>0.28581755121597835</v>
      </c>
      <c r="G47" s="135">
        <v>3.1538818734731702E-2</v>
      </c>
      <c r="H47" s="135">
        <v>3.8320129646126862E-2</v>
      </c>
      <c r="I47" s="135">
        <v>0</v>
      </c>
      <c r="J47" s="136"/>
      <c r="K47" s="138">
        <f t="shared" si="0"/>
        <v>0.90062018058868609</v>
      </c>
      <c r="L47" s="138">
        <f t="shared" si="1"/>
        <v>9.9379819411313949E-2</v>
      </c>
      <c r="T47" s="133"/>
      <c r="U47" s="133"/>
      <c r="V47" s="133"/>
      <c r="W47" s="133"/>
      <c r="X47" s="133"/>
      <c r="Y47" s="133"/>
      <c r="Z47" s="133"/>
      <c r="AA47" s="133"/>
    </row>
    <row r="48" spans="1:27" x14ac:dyDescent="0.2">
      <c r="A48" s="136" t="s">
        <v>110</v>
      </c>
      <c r="B48" s="135">
        <v>0.28755447392521361</v>
      </c>
      <c r="C48" s="135">
        <v>0.15088172458371132</v>
      </c>
      <c r="D48" s="135">
        <v>0</v>
      </c>
      <c r="E48" s="135">
        <v>7.8887182836015132E-2</v>
      </c>
      <c r="F48" s="135">
        <v>0.45268627937391648</v>
      </c>
      <c r="G48" s="135">
        <v>2.6656260422249882E-2</v>
      </c>
      <c r="H48" s="135">
        <v>6.8676905137915646E-5</v>
      </c>
      <c r="I48" s="135">
        <v>3.2654019537556359E-3</v>
      </c>
      <c r="J48" s="136"/>
      <c r="K48" s="138">
        <f t="shared" si="0"/>
        <v>0.9443899545540333</v>
      </c>
      <c r="L48" s="138">
        <f t="shared" si="1"/>
        <v>5.5610045445966635E-2</v>
      </c>
      <c r="T48" s="133"/>
      <c r="U48" s="133"/>
      <c r="V48" s="133"/>
      <c r="W48" s="133"/>
      <c r="X48" s="133"/>
      <c r="Y48" s="133"/>
      <c r="Z48" s="133"/>
      <c r="AA48" s="133"/>
    </row>
    <row r="49" spans="1:27" x14ac:dyDescent="0.2">
      <c r="A49" s="136" t="s">
        <v>100</v>
      </c>
      <c r="B49" s="135">
        <v>0.28296088030370209</v>
      </c>
      <c r="C49" s="135">
        <v>0.14223392293719503</v>
      </c>
      <c r="D49" s="135">
        <v>2.5535973736795629E-3</v>
      </c>
      <c r="E49" s="135">
        <v>4.5949016787866656E-2</v>
      </c>
      <c r="F49" s="135">
        <v>0.4997291883387639</v>
      </c>
      <c r="G49" s="135">
        <v>2.5616879488196666E-2</v>
      </c>
      <c r="H49" s="135">
        <v>1.5352134990708889E-7</v>
      </c>
      <c r="I49" s="135">
        <v>9.5636124924621012E-4</v>
      </c>
      <c r="J49" s="136"/>
      <c r="K49" s="138">
        <f t="shared" si="0"/>
        <v>0.95123808655471953</v>
      </c>
      <c r="L49" s="138">
        <f t="shared" si="1"/>
        <v>4.8761913445280414E-2</v>
      </c>
      <c r="T49" s="133"/>
      <c r="U49" s="133"/>
      <c r="V49" s="133"/>
      <c r="W49" s="133"/>
      <c r="X49" s="133"/>
      <c r="Y49" s="133"/>
      <c r="Z49" s="133"/>
      <c r="AA49" s="133"/>
    </row>
    <row r="50" spans="1:27" x14ac:dyDescent="0.2">
      <c r="A50" s="136" t="s">
        <v>111</v>
      </c>
      <c r="B50" s="135">
        <v>0.21700168173378381</v>
      </c>
      <c r="C50" s="135">
        <v>0.11485133587495815</v>
      </c>
      <c r="D50" s="135">
        <v>1.081760037135117E-3</v>
      </c>
      <c r="E50" s="135">
        <v>5.099967088241561E-2</v>
      </c>
      <c r="F50" s="135">
        <v>8.7424236371107661E-2</v>
      </c>
      <c r="G50" s="135">
        <v>2.5510655419596386E-2</v>
      </c>
      <c r="H50" s="135">
        <v>0.50313065968100323</v>
      </c>
      <c r="I50" s="135">
        <v>0</v>
      </c>
      <c r="J50" s="136"/>
      <c r="K50" s="138">
        <f t="shared" si="0"/>
        <v>0.77411183545583184</v>
      </c>
      <c r="L50" s="138">
        <f t="shared" si="1"/>
        <v>0.22588816454416821</v>
      </c>
      <c r="T50" s="133"/>
      <c r="U50" s="133"/>
      <c r="V50" s="133"/>
      <c r="W50" s="133"/>
      <c r="X50" s="133"/>
      <c r="Y50" s="133"/>
      <c r="Z50" s="133"/>
      <c r="AA50" s="133"/>
    </row>
    <row r="51" spans="1:27" x14ac:dyDescent="0.2">
      <c r="A51" s="136" t="s">
        <v>114</v>
      </c>
      <c r="B51" s="135">
        <v>0.2848615042299999</v>
      </c>
      <c r="C51" s="135">
        <v>0.1398908177999818</v>
      </c>
      <c r="D51" s="135">
        <v>0</v>
      </c>
      <c r="E51" s="135">
        <v>0.10982943025963447</v>
      </c>
      <c r="F51" s="135">
        <v>0.36546697295957792</v>
      </c>
      <c r="G51" s="135">
        <v>2.4557943836308258E-2</v>
      </c>
      <c r="H51" s="135">
        <v>7.3185847092639658E-2</v>
      </c>
      <c r="I51" s="135">
        <v>2.2074838218579793E-3</v>
      </c>
      <c r="J51" s="136"/>
      <c r="K51" s="138">
        <f t="shared" si="0"/>
        <v>0.93703493602907351</v>
      </c>
      <c r="L51" s="138">
        <f t="shared" si="1"/>
        <v>6.2965063970926494E-2</v>
      </c>
      <c r="T51" s="133"/>
      <c r="U51" s="133"/>
      <c r="V51" s="133"/>
      <c r="W51" s="133"/>
      <c r="X51" s="133"/>
      <c r="Y51" s="133"/>
      <c r="Z51" s="133"/>
      <c r="AA51" s="133"/>
    </row>
    <row r="52" spans="1:27" x14ac:dyDescent="0.2">
      <c r="A52" s="136" t="s">
        <v>72</v>
      </c>
      <c r="B52" s="135">
        <v>0.47183203400385554</v>
      </c>
      <c r="C52" s="135">
        <v>0.12401572930560528</v>
      </c>
      <c r="D52" s="135">
        <v>6.427269759628701E-2</v>
      </c>
      <c r="E52" s="135">
        <v>3.0381522134916975E-2</v>
      </c>
      <c r="F52" s="135">
        <v>0.27895330508925509</v>
      </c>
      <c r="G52" s="135">
        <v>2.2896642961910265E-2</v>
      </c>
      <c r="H52" s="135">
        <v>1.5074337251134886E-3</v>
      </c>
      <c r="I52" s="135">
        <v>6.1406351830563515E-3</v>
      </c>
      <c r="J52" s="136"/>
      <c r="K52" s="138">
        <f t="shared" si="0"/>
        <v>0.92414561238211934</v>
      </c>
      <c r="L52" s="138">
        <f t="shared" si="1"/>
        <v>7.5854387617880756E-2</v>
      </c>
      <c r="T52" s="133"/>
      <c r="U52" s="133"/>
      <c r="V52" s="133"/>
      <c r="W52" s="133"/>
      <c r="X52" s="133"/>
      <c r="Y52" s="133"/>
      <c r="Z52" s="133"/>
      <c r="AA52" s="133"/>
    </row>
    <row r="53" spans="1:27" x14ac:dyDescent="0.2">
      <c r="A53" s="136" t="s">
        <v>128</v>
      </c>
      <c r="B53" s="135">
        <v>0.24215747240558816</v>
      </c>
      <c r="C53" s="135">
        <v>0.2620698960605411</v>
      </c>
      <c r="D53" s="135">
        <v>1.3503952711800805E-3</v>
      </c>
      <c r="E53" s="135">
        <v>3.5817591796330268E-2</v>
      </c>
      <c r="F53" s="135">
        <v>0.36003852576558237</v>
      </c>
      <c r="G53" s="135">
        <v>2.0316471665971718E-2</v>
      </c>
      <c r="H53" s="135">
        <v>7.6028029008026146E-2</v>
      </c>
      <c r="I53" s="135">
        <v>2.2216180267801322E-3</v>
      </c>
      <c r="J53" s="136"/>
      <c r="K53" s="138">
        <f t="shared" si="0"/>
        <v>0.94658550090530169</v>
      </c>
      <c r="L53" s="138">
        <f t="shared" si="1"/>
        <v>5.3414499094698295E-2</v>
      </c>
      <c r="T53" s="133"/>
      <c r="U53" s="133"/>
      <c r="V53" s="133"/>
      <c r="W53" s="133"/>
      <c r="X53" s="133"/>
      <c r="Y53" s="133"/>
      <c r="Z53" s="133"/>
      <c r="AA53" s="133"/>
    </row>
    <row r="54" spans="1:27" x14ac:dyDescent="0.2">
      <c r="A54" s="136" t="s">
        <v>81</v>
      </c>
      <c r="B54" s="135">
        <v>0.45746158735080433</v>
      </c>
      <c r="C54" s="135">
        <v>0.15593682557579275</v>
      </c>
      <c r="D54" s="135">
        <v>0</v>
      </c>
      <c r="E54" s="135">
        <v>3.5725160481283762E-2</v>
      </c>
      <c r="F54" s="135">
        <v>0.31499739903720952</v>
      </c>
      <c r="G54" s="135">
        <v>1.9033240343350421E-2</v>
      </c>
      <c r="H54" s="135">
        <v>0</v>
      </c>
      <c r="I54" s="135">
        <v>1.6845787211559188E-2</v>
      </c>
      <c r="J54" s="136"/>
      <c r="K54" s="138">
        <f t="shared" si="0"/>
        <v>0.94301947755856641</v>
      </c>
      <c r="L54" s="138">
        <f t="shared" si="1"/>
        <v>5.6980522441433631E-2</v>
      </c>
      <c r="T54" s="133"/>
      <c r="U54" s="133"/>
      <c r="V54" s="133"/>
      <c r="W54" s="133"/>
      <c r="X54" s="133"/>
      <c r="Y54" s="133"/>
      <c r="Z54" s="133"/>
      <c r="AA54" s="133"/>
    </row>
    <row r="55" spans="1:27" x14ac:dyDescent="0.2">
      <c r="A55" s="136" t="s">
        <v>120</v>
      </c>
      <c r="B55" s="135">
        <v>0.57553917815877365</v>
      </c>
      <c r="C55" s="135">
        <v>0.25108367561072786</v>
      </c>
      <c r="D55" s="135">
        <v>0</v>
      </c>
      <c r="E55" s="135">
        <v>0.15222356884938473</v>
      </c>
      <c r="F55" s="135">
        <v>0</v>
      </c>
      <c r="G55" s="135">
        <v>1.6884062354632062E-2</v>
      </c>
      <c r="H55" s="135">
        <v>4.1719946515028569E-3</v>
      </c>
      <c r="I55" s="135">
        <v>9.7520374978879275E-5</v>
      </c>
      <c r="J55" s="136"/>
      <c r="K55" s="138">
        <f t="shared" si="0"/>
        <v>0</v>
      </c>
      <c r="L55" s="138">
        <f t="shared" si="1"/>
        <v>1</v>
      </c>
      <c r="T55" s="133"/>
      <c r="U55" s="133"/>
      <c r="V55" s="133"/>
      <c r="W55" s="133"/>
      <c r="X55" s="133"/>
      <c r="Y55" s="133"/>
      <c r="Z55" s="133"/>
      <c r="AA55" s="133"/>
    </row>
    <row r="56" spans="1:27" x14ac:dyDescent="0.2">
      <c r="A56" s="136" t="s">
        <v>108</v>
      </c>
      <c r="B56" s="135">
        <v>0.36550653889769641</v>
      </c>
      <c r="C56" s="135">
        <v>0.14329826456865277</v>
      </c>
      <c r="D56" s="135">
        <v>1.4849334544449271E-2</v>
      </c>
      <c r="E56" s="135">
        <v>5.583486603440397E-2</v>
      </c>
      <c r="F56" s="135">
        <v>0.22085193966611566</v>
      </c>
      <c r="G56" s="135">
        <v>1.6130033230463702E-2</v>
      </c>
      <c r="H56" s="135">
        <v>0.1835288467505797</v>
      </c>
      <c r="I56" s="135">
        <v>1.763076384931762E-7</v>
      </c>
      <c r="J56" s="136"/>
      <c r="K56" s="138">
        <f t="shared" si="0"/>
        <v>0.93193561082596377</v>
      </c>
      <c r="L56" s="138">
        <f t="shared" si="1"/>
        <v>6.8064389174036316E-2</v>
      </c>
      <c r="T56" s="133"/>
      <c r="U56" s="133"/>
      <c r="V56" s="133"/>
      <c r="W56" s="133"/>
      <c r="X56" s="133"/>
      <c r="Y56" s="133"/>
      <c r="Z56" s="133"/>
      <c r="AA56" s="133"/>
    </row>
    <row r="57" spans="1:27" x14ac:dyDescent="0.2">
      <c r="A57" s="136" t="s">
        <v>112</v>
      </c>
      <c r="B57" s="135">
        <v>0.41704319664511275</v>
      </c>
      <c r="C57" s="135">
        <v>0.20383325941193353</v>
      </c>
      <c r="D57" s="135">
        <v>0</v>
      </c>
      <c r="E57" s="135">
        <v>7.7912834997823546E-2</v>
      </c>
      <c r="F57" s="135">
        <v>0.29862303656294326</v>
      </c>
      <c r="G57" s="135">
        <v>3.1053853685061882E-4</v>
      </c>
      <c r="H57" s="135">
        <v>2.2698218059432804E-3</v>
      </c>
      <c r="I57" s="135">
        <v>7.3120393930114753E-6</v>
      </c>
      <c r="J57" s="136"/>
      <c r="K57" s="138">
        <f t="shared" si="0"/>
        <v>0.99896117879449653</v>
      </c>
      <c r="L57" s="138">
        <f t="shared" si="1"/>
        <v>1.0388212055034327E-3</v>
      </c>
      <c r="T57" s="133"/>
      <c r="U57" s="133"/>
      <c r="V57" s="133"/>
      <c r="W57" s="133"/>
      <c r="X57" s="133"/>
      <c r="Y57" s="133"/>
      <c r="Z57" s="133"/>
      <c r="AA57" s="133"/>
    </row>
    <row r="58" spans="1:27" x14ac:dyDescent="0.2">
      <c r="A58" s="136" t="s">
        <v>104</v>
      </c>
      <c r="B58" s="135">
        <v>0.5564779913500395</v>
      </c>
      <c r="C58" s="135">
        <v>0.2439399604850303</v>
      </c>
      <c r="D58" s="135">
        <v>3.4633040647650618E-2</v>
      </c>
      <c r="E58" s="135">
        <v>7.2211139062902011E-2</v>
      </c>
      <c r="F58" s="135">
        <v>0</v>
      </c>
      <c r="G58" s="135">
        <v>0</v>
      </c>
      <c r="H58" s="135">
        <v>1.7029309483985865E-2</v>
      </c>
      <c r="I58" s="135">
        <v>7.5708558970391734E-2</v>
      </c>
      <c r="J58" s="136"/>
      <c r="K58" s="138"/>
      <c r="L58" s="138"/>
      <c r="T58" s="133"/>
      <c r="U58" s="133"/>
      <c r="V58" s="133"/>
      <c r="W58" s="133"/>
      <c r="X58" s="133"/>
      <c r="Y58" s="133"/>
      <c r="Z58" s="133"/>
      <c r="AA58" s="133"/>
    </row>
    <row r="59" spans="1:27" x14ac:dyDescent="0.2">
      <c r="A59" s="136" t="s">
        <v>122</v>
      </c>
      <c r="B59" s="135">
        <v>0.59888229581992813</v>
      </c>
      <c r="C59" s="135">
        <v>0.25414598121830384</v>
      </c>
      <c r="D59" s="135">
        <v>0</v>
      </c>
      <c r="E59" s="135">
        <v>6.0253500966361978E-2</v>
      </c>
      <c r="F59" s="135">
        <v>0</v>
      </c>
      <c r="G59" s="135">
        <v>0</v>
      </c>
      <c r="H59" s="135">
        <v>8.6718221995406075E-2</v>
      </c>
      <c r="I59" s="135">
        <v>0</v>
      </c>
      <c r="J59" s="136"/>
      <c r="K59" s="138"/>
      <c r="L59" s="138"/>
      <c r="T59" s="133"/>
      <c r="U59" s="133"/>
      <c r="V59" s="133"/>
      <c r="W59" s="133"/>
      <c r="X59" s="133"/>
      <c r="Y59" s="133"/>
      <c r="Z59" s="133"/>
      <c r="AA59" s="133"/>
    </row>
    <row r="60" spans="1:27" x14ac:dyDescent="0.2">
      <c r="A60" s="136" t="s">
        <v>127</v>
      </c>
      <c r="B60" s="135">
        <v>0.58863903439069865</v>
      </c>
      <c r="C60" s="135">
        <v>0.17610869418871325</v>
      </c>
      <c r="D60" s="135">
        <v>0.10421567518118326</v>
      </c>
      <c r="E60" s="135">
        <v>7.792807714079257E-2</v>
      </c>
      <c r="F60" s="135">
        <v>0</v>
      </c>
      <c r="G60" s="135">
        <v>0</v>
      </c>
      <c r="H60" s="135">
        <v>1.5543620897155957E-3</v>
      </c>
      <c r="I60" s="135">
        <v>5.155415700889663E-2</v>
      </c>
      <c r="J60" s="136"/>
      <c r="K60" s="138"/>
      <c r="L60" s="138"/>
      <c r="T60" s="133"/>
      <c r="U60" s="133"/>
      <c r="V60" s="133"/>
      <c r="W60" s="133"/>
      <c r="X60" s="133"/>
      <c r="Y60" s="133"/>
      <c r="Z60" s="133"/>
      <c r="AA60" s="133"/>
    </row>
    <row r="61" spans="1:27" x14ac:dyDescent="0.2">
      <c r="A61" s="136" t="s">
        <v>130</v>
      </c>
      <c r="B61" s="135">
        <v>0.37509884886314965</v>
      </c>
      <c r="C61" s="135">
        <v>9.4475838426124725E-2</v>
      </c>
      <c r="D61" s="135">
        <v>0.13614502223521158</v>
      </c>
      <c r="E61" s="135">
        <v>0.10205828776625243</v>
      </c>
      <c r="F61" s="135">
        <v>0</v>
      </c>
      <c r="G61" s="135">
        <v>0</v>
      </c>
      <c r="H61" s="135">
        <v>0.28935382096776913</v>
      </c>
      <c r="I61" s="135">
        <v>2.8681817414924668E-3</v>
      </c>
      <c r="J61" s="136"/>
      <c r="K61" s="138"/>
      <c r="L61" s="138"/>
      <c r="T61" s="133"/>
      <c r="U61" s="133"/>
      <c r="V61" s="133"/>
      <c r="W61" s="133"/>
      <c r="X61" s="133"/>
      <c r="Y61" s="133"/>
      <c r="Z61" s="133"/>
      <c r="AA61" s="133"/>
    </row>
    <row r="62" spans="1:27" x14ac:dyDescent="0.2">
      <c r="A62" s="136"/>
      <c r="B62" s="136"/>
      <c r="C62" s="136"/>
      <c r="D62" s="136"/>
      <c r="E62" s="136"/>
      <c r="F62" s="136"/>
      <c r="G62" s="136"/>
      <c r="H62" s="136"/>
      <c r="I62" s="136"/>
      <c r="J62" s="136"/>
      <c r="K62" s="138"/>
      <c r="L62" s="138"/>
    </row>
    <row r="63" spans="1:27" x14ac:dyDescent="0.2">
      <c r="A63" s="136" t="s">
        <v>629</v>
      </c>
      <c r="B63" s="137">
        <f>AVERAGE(B11:B61)</f>
        <v>0.30293495226106598</v>
      </c>
      <c r="C63" s="137">
        <f t="shared" ref="C63:I63" si="2">AVERAGE(C11:C61)</f>
        <v>0.17122927204956692</v>
      </c>
      <c r="D63" s="137">
        <f t="shared" si="2"/>
        <v>3.009641730529479E-2</v>
      </c>
      <c r="E63" s="137">
        <f t="shared" si="2"/>
        <v>6.740977416340814E-2</v>
      </c>
      <c r="F63" s="137">
        <f t="shared" si="2"/>
        <v>0.32788439763764748</v>
      </c>
      <c r="G63" s="137">
        <f t="shared" si="2"/>
        <v>4.6467053559703507E-2</v>
      </c>
      <c r="H63" s="137">
        <f t="shared" si="2"/>
        <v>3.8665864771760296E-2</v>
      </c>
      <c r="I63" s="137">
        <f t="shared" si="2"/>
        <v>1.5312268251552874E-2</v>
      </c>
      <c r="J63" s="136"/>
      <c r="K63" s="138">
        <f>AVERAGE(K11:K57)</f>
        <v>0.80934923195706854</v>
      </c>
      <c r="L63" s="138">
        <f>AVERAGE(L11:L57)</f>
        <v>0.19065076804293138</v>
      </c>
    </row>
    <row r="64" spans="1:27" x14ac:dyDescent="0.2">
      <c r="A64" s="136" t="s">
        <v>630</v>
      </c>
      <c r="B64" s="137">
        <f>MEDIAN(B11:B61)</f>
        <v>0.29575584321309806</v>
      </c>
      <c r="C64" s="137">
        <f t="shared" ref="C64:I64" si="3">MEDIAN(C11:C61)</f>
        <v>0.15860304655500831</v>
      </c>
      <c r="D64" s="137">
        <f t="shared" si="3"/>
        <v>1.5908428944578232E-3</v>
      </c>
      <c r="E64" s="137">
        <f t="shared" si="3"/>
        <v>5.5294679806538967E-2</v>
      </c>
      <c r="F64" s="137">
        <f t="shared" si="3"/>
        <v>0.36546697295957792</v>
      </c>
      <c r="G64" s="137">
        <f t="shared" si="3"/>
        <v>4.24008517434123E-2</v>
      </c>
      <c r="H64" s="137">
        <f t="shared" si="3"/>
        <v>1.0297832780987481E-3</v>
      </c>
      <c r="I64" s="137">
        <f t="shared" si="3"/>
        <v>7.3913325320061297E-3</v>
      </c>
      <c r="J64" s="136"/>
      <c r="K64" s="138">
        <f>MEDIAN(K11:K57)</f>
        <v>0.89750209489389721</v>
      </c>
      <c r="L64" s="138">
        <f>MEDIAN(L11:L57)</f>
        <v>0.10249790510610278</v>
      </c>
    </row>
    <row r="65" spans="1:12" x14ac:dyDescent="0.2">
      <c r="A65" s="136"/>
      <c r="B65" s="136"/>
      <c r="C65" s="136"/>
      <c r="D65" s="136"/>
      <c r="E65" s="136"/>
      <c r="F65" s="136"/>
      <c r="G65" s="136"/>
      <c r="H65" s="136"/>
      <c r="I65" s="136"/>
      <c r="J65" s="136"/>
      <c r="K65" s="138"/>
      <c r="L65" s="138"/>
    </row>
    <row r="66" spans="1:12" x14ac:dyDescent="0.2">
      <c r="A66" s="290" t="s">
        <v>634</v>
      </c>
      <c r="B66" s="136"/>
      <c r="C66" s="136"/>
      <c r="D66" s="136"/>
      <c r="E66" s="136"/>
      <c r="F66" s="136"/>
      <c r="G66" s="136"/>
      <c r="H66" s="136"/>
      <c r="I66" s="136"/>
      <c r="J66" s="136"/>
      <c r="K66" s="138"/>
      <c r="L66" s="138"/>
    </row>
    <row r="67" spans="1:12" x14ac:dyDescent="0.2">
      <c r="A67" s="136" t="str">
        <f>+A41</f>
        <v>Arkansas</v>
      </c>
      <c r="B67" s="135">
        <f t="shared" ref="B67:I67" si="4">+B41</f>
        <v>0.35538062777114654</v>
      </c>
      <c r="C67" s="135">
        <f t="shared" si="4"/>
        <v>0.13582104063395004</v>
      </c>
      <c r="D67" s="135">
        <f t="shared" si="4"/>
        <v>0.12321169200216231</v>
      </c>
      <c r="E67" s="135">
        <f t="shared" si="4"/>
        <v>4.1638605762593019E-2</v>
      </c>
      <c r="F67" s="135">
        <f t="shared" si="4"/>
        <v>0.29118405213440829</v>
      </c>
      <c r="G67" s="135">
        <f t="shared" si="4"/>
        <v>3.9698174562206721E-2</v>
      </c>
      <c r="H67" s="135">
        <f t="shared" si="4"/>
        <v>5.5525794375451904E-3</v>
      </c>
      <c r="I67" s="135">
        <f t="shared" si="4"/>
        <v>7.5132276959878688E-3</v>
      </c>
      <c r="J67" s="136"/>
      <c r="K67" s="291">
        <f t="shared" ref="K67:L67" si="5">+K41</f>
        <v>0.880023248880618</v>
      </c>
      <c r="L67" s="291">
        <f t="shared" si="5"/>
        <v>0.11997675111938202</v>
      </c>
    </row>
    <row r="68" spans="1:12" x14ac:dyDescent="0.2">
      <c r="A68" s="136" t="str">
        <f>+A33</f>
        <v>Colorado</v>
      </c>
      <c r="B68" s="135">
        <f t="shared" ref="B68:I68" si="6">+B33</f>
        <v>0.21698769978617458</v>
      </c>
      <c r="C68" s="135">
        <f t="shared" si="6"/>
        <v>0.16891565836926423</v>
      </c>
      <c r="D68" s="135">
        <f t="shared" si="6"/>
        <v>0</v>
      </c>
      <c r="E68" s="135">
        <f t="shared" si="6"/>
        <v>5.51829135855781E-2</v>
      </c>
      <c r="F68" s="135">
        <f t="shared" si="6"/>
        <v>0.5073795810816224</v>
      </c>
      <c r="G68" s="135">
        <f t="shared" si="6"/>
        <v>4.4594532606264323E-2</v>
      </c>
      <c r="H68" s="135">
        <f t="shared" si="6"/>
        <v>6.9396145710963249E-3</v>
      </c>
      <c r="I68" s="135">
        <f t="shared" si="6"/>
        <v>0</v>
      </c>
      <c r="J68" s="136"/>
      <c r="K68" s="291">
        <f t="shared" ref="K68:L68" si="7">+K33</f>
        <v>0.91920901451643022</v>
      </c>
      <c r="L68" s="291">
        <f t="shared" si="7"/>
        <v>8.0790985483569722E-2</v>
      </c>
    </row>
    <row r="69" spans="1:12" x14ac:dyDescent="0.2">
      <c r="A69" s="136" t="str">
        <f>+A32</f>
        <v>Kansas</v>
      </c>
      <c r="B69" s="135">
        <f t="shared" ref="B69:I69" si="8">+B32</f>
        <v>0.34609444640554576</v>
      </c>
      <c r="C69" s="135">
        <f t="shared" si="8"/>
        <v>0.12472443617173939</v>
      </c>
      <c r="D69" s="135">
        <f t="shared" si="8"/>
        <v>7.4883285376550646E-2</v>
      </c>
      <c r="E69" s="135">
        <f t="shared" si="8"/>
        <v>4.5379546423457519E-2</v>
      </c>
      <c r="F69" s="135">
        <f t="shared" si="8"/>
        <v>0.35757327855750465</v>
      </c>
      <c r="G69" s="135">
        <f t="shared" si="8"/>
        <v>4.5875838894539424E-2</v>
      </c>
      <c r="H69" s="135">
        <f t="shared" si="8"/>
        <v>5.4691681706625994E-3</v>
      </c>
      <c r="I69" s="135">
        <f t="shared" si="8"/>
        <v>0</v>
      </c>
      <c r="J69" s="136"/>
      <c r="K69" s="291">
        <f t="shared" ref="K69:L69" si="9">+K32</f>
        <v>0.88629089292779906</v>
      </c>
      <c r="L69" s="291">
        <f t="shared" si="9"/>
        <v>0.11370910707220086</v>
      </c>
    </row>
    <row r="70" spans="1:12" x14ac:dyDescent="0.2">
      <c r="A70" s="136" t="str">
        <f>+A47</f>
        <v>Louisiana</v>
      </c>
      <c r="B70" s="135">
        <f t="shared" ref="B70:I70" si="10">+B47</f>
        <v>0.37443304912638015</v>
      </c>
      <c r="C70" s="135">
        <f t="shared" si="10"/>
        <v>0.22997906439744856</v>
      </c>
      <c r="D70" s="135">
        <f t="shared" si="10"/>
        <v>5.2979101552904353E-3</v>
      </c>
      <c r="E70" s="135">
        <f t="shared" si="10"/>
        <v>3.4613476724043968E-2</v>
      </c>
      <c r="F70" s="135">
        <f t="shared" si="10"/>
        <v>0.28581755121597835</v>
      </c>
      <c r="G70" s="135">
        <f t="shared" si="10"/>
        <v>3.1538818734731702E-2</v>
      </c>
      <c r="H70" s="135">
        <f t="shared" si="10"/>
        <v>3.8320129646126862E-2</v>
      </c>
      <c r="I70" s="135">
        <f t="shared" si="10"/>
        <v>0</v>
      </c>
      <c r="J70" s="136"/>
      <c r="K70" s="291">
        <f t="shared" ref="K70:L70" si="11">+K47</f>
        <v>0.90062018058868609</v>
      </c>
      <c r="L70" s="291">
        <f t="shared" si="11"/>
        <v>9.9379819411313949E-2</v>
      </c>
    </row>
    <row r="71" spans="1:12" x14ac:dyDescent="0.2">
      <c r="A71" s="136" t="str">
        <f>+A49</f>
        <v>Missouri</v>
      </c>
      <c r="B71" s="135">
        <f t="shared" ref="B71:I71" si="12">+B49</f>
        <v>0.28296088030370209</v>
      </c>
      <c r="C71" s="135">
        <f t="shared" si="12"/>
        <v>0.14223392293719503</v>
      </c>
      <c r="D71" s="135">
        <f t="shared" si="12"/>
        <v>2.5535973736795629E-3</v>
      </c>
      <c r="E71" s="135">
        <f t="shared" si="12"/>
        <v>4.5949016787866656E-2</v>
      </c>
      <c r="F71" s="135">
        <f t="shared" si="12"/>
        <v>0.4997291883387639</v>
      </c>
      <c r="G71" s="135">
        <f t="shared" si="12"/>
        <v>2.5616879488196666E-2</v>
      </c>
      <c r="H71" s="135">
        <f t="shared" si="12"/>
        <v>1.5352134990708889E-7</v>
      </c>
      <c r="I71" s="135">
        <f t="shared" si="12"/>
        <v>9.5636124924621012E-4</v>
      </c>
      <c r="J71" s="136"/>
      <c r="K71" s="291">
        <f t="shared" ref="K71:L71" si="13">+K49</f>
        <v>0.95123808655471953</v>
      </c>
      <c r="L71" s="291">
        <f t="shared" si="13"/>
        <v>4.8761913445280414E-2</v>
      </c>
    </row>
    <row r="72" spans="1:12" x14ac:dyDescent="0.2">
      <c r="A72" s="136" t="str">
        <f>+A56</f>
        <v>New Mexico</v>
      </c>
      <c r="B72" s="135">
        <f t="shared" ref="B72:I72" si="14">+B56</f>
        <v>0.36550653889769641</v>
      </c>
      <c r="C72" s="135">
        <f t="shared" si="14"/>
        <v>0.14329826456865277</v>
      </c>
      <c r="D72" s="135">
        <f t="shared" si="14"/>
        <v>1.4849334544449271E-2</v>
      </c>
      <c r="E72" s="135">
        <f t="shared" si="14"/>
        <v>5.583486603440397E-2</v>
      </c>
      <c r="F72" s="135">
        <f t="shared" si="14"/>
        <v>0.22085193966611566</v>
      </c>
      <c r="G72" s="135">
        <f t="shared" si="14"/>
        <v>1.6130033230463702E-2</v>
      </c>
      <c r="H72" s="135">
        <f t="shared" si="14"/>
        <v>0.1835288467505797</v>
      </c>
      <c r="I72" s="135">
        <f t="shared" si="14"/>
        <v>1.763076384931762E-7</v>
      </c>
      <c r="J72" s="136"/>
      <c r="K72" s="291">
        <f t="shared" ref="K72:L72" si="15">+K56</f>
        <v>0.93193561082596377</v>
      </c>
      <c r="L72" s="291">
        <f t="shared" si="15"/>
        <v>6.8064389174036316E-2</v>
      </c>
    </row>
    <row r="73" spans="1:12" x14ac:dyDescent="0.2">
      <c r="A73" s="136" t="str">
        <f>+A59</f>
        <v>Texas</v>
      </c>
      <c r="B73" s="135">
        <f t="shared" ref="B73:I73" si="16">+B59</f>
        <v>0.59888229581992813</v>
      </c>
      <c r="C73" s="135">
        <f t="shared" si="16"/>
        <v>0.25414598121830384</v>
      </c>
      <c r="D73" s="135">
        <f t="shared" si="16"/>
        <v>0</v>
      </c>
      <c r="E73" s="135">
        <f t="shared" si="16"/>
        <v>6.0253500966361978E-2</v>
      </c>
      <c r="F73" s="135">
        <f t="shared" si="16"/>
        <v>0</v>
      </c>
      <c r="G73" s="135">
        <f t="shared" si="16"/>
        <v>0</v>
      </c>
      <c r="H73" s="135">
        <f t="shared" si="16"/>
        <v>8.6718221995406075E-2</v>
      </c>
      <c r="I73" s="135">
        <f t="shared" si="16"/>
        <v>0</v>
      </c>
      <c r="J73" s="136"/>
      <c r="K73" s="291">
        <f t="shared" ref="K73:L73" si="17">+K59</f>
        <v>0</v>
      </c>
      <c r="L73" s="291">
        <f t="shared" si="17"/>
        <v>0</v>
      </c>
    </row>
    <row r="74" spans="1:12" x14ac:dyDescent="0.2">
      <c r="A74" s="284" t="str">
        <f>+A51</f>
        <v>Oklahoma</v>
      </c>
      <c r="B74" s="292">
        <f t="shared" ref="B74:L74" si="18">+B51</f>
        <v>0.2848615042299999</v>
      </c>
      <c r="C74" s="292">
        <f t="shared" si="18"/>
        <v>0.1398908177999818</v>
      </c>
      <c r="D74" s="292">
        <f t="shared" si="18"/>
        <v>0</v>
      </c>
      <c r="E74" s="292">
        <f t="shared" si="18"/>
        <v>0.10982943025963447</v>
      </c>
      <c r="F74" s="292">
        <f t="shared" si="18"/>
        <v>0.36546697295957792</v>
      </c>
      <c r="G74" s="292">
        <f t="shared" si="18"/>
        <v>2.4557943836308258E-2</v>
      </c>
      <c r="H74" s="292">
        <f t="shared" si="18"/>
        <v>7.3185847092639658E-2</v>
      </c>
      <c r="I74" s="292">
        <f t="shared" si="18"/>
        <v>2.2074838218579793E-3</v>
      </c>
      <c r="J74" s="292">
        <f t="shared" si="18"/>
        <v>0</v>
      </c>
      <c r="K74" s="293">
        <f t="shared" si="18"/>
        <v>0.93703493602907351</v>
      </c>
      <c r="L74" s="293">
        <f t="shared" si="18"/>
        <v>6.2965063970926494E-2</v>
      </c>
    </row>
    <row r="75" spans="1:12" x14ac:dyDescent="0.2">
      <c r="A75" s="136"/>
      <c r="B75" s="136"/>
      <c r="C75" s="136"/>
      <c r="D75" s="136"/>
      <c r="E75" s="136"/>
      <c r="F75" s="136"/>
      <c r="G75" s="136"/>
      <c r="H75" s="136"/>
      <c r="I75" s="136"/>
      <c r="J75" s="136"/>
      <c r="K75" s="138"/>
      <c r="L75" s="138"/>
    </row>
    <row r="76" spans="1:12" x14ac:dyDescent="0.2">
      <c r="A76" s="294" t="s">
        <v>631</v>
      </c>
      <c r="B76" s="295">
        <v>43670</v>
      </c>
      <c r="C76" s="136"/>
      <c r="D76" s="136"/>
      <c r="E76" s="136"/>
      <c r="F76" s="136"/>
      <c r="G76" s="136"/>
      <c r="H76" s="136"/>
      <c r="I76" s="136"/>
      <c r="J76" s="136"/>
      <c r="K76" s="138"/>
      <c r="L76" s="138"/>
    </row>
    <row r="77" spans="1:12" x14ac:dyDescent="0.2">
      <c r="A77" s="294"/>
      <c r="B77" s="136"/>
      <c r="C77" s="136"/>
      <c r="D77" s="136"/>
      <c r="E77" s="136"/>
      <c r="F77" s="136"/>
      <c r="G77" s="136"/>
      <c r="H77" s="136"/>
      <c r="I77" s="136"/>
      <c r="J77" s="136"/>
      <c r="K77" s="138"/>
      <c r="L77" s="138"/>
    </row>
    <row r="78" spans="1:12" x14ac:dyDescent="0.2">
      <c r="A78" s="296" t="s">
        <v>5</v>
      </c>
      <c r="B78" s="136" t="s">
        <v>632</v>
      </c>
      <c r="C78" s="136"/>
      <c r="D78" s="136"/>
      <c r="E78" s="136"/>
      <c r="F78" s="136"/>
      <c r="G78" s="136"/>
      <c r="H78" s="136"/>
      <c r="I78" s="136"/>
      <c r="J78" s="136"/>
      <c r="K78" s="138"/>
      <c r="L78" s="138"/>
    </row>
    <row r="80" spans="1:12" ht="15" x14ac:dyDescent="0.25">
      <c r="A80" s="101"/>
    </row>
    <row r="81" spans="1:9" x14ac:dyDescent="0.2">
      <c r="A81" s="177" t="s">
        <v>3137</v>
      </c>
    </row>
    <row r="83" spans="1:9" x14ac:dyDescent="0.2">
      <c r="A83" s="32" t="s">
        <v>135</v>
      </c>
      <c r="B83" s="32" t="s">
        <v>719</v>
      </c>
      <c r="C83" s="147"/>
      <c r="D83" s="48" t="s">
        <v>161</v>
      </c>
      <c r="E83" s="147"/>
      <c r="F83" s="147"/>
      <c r="G83" s="147"/>
      <c r="H83" s="147"/>
      <c r="I83" s="147"/>
    </row>
    <row r="84" spans="1:9" x14ac:dyDescent="0.2">
      <c r="A84" s="147"/>
      <c r="B84" s="147"/>
      <c r="C84" s="147"/>
      <c r="D84" s="147"/>
      <c r="E84" s="147"/>
      <c r="F84" s="147"/>
      <c r="G84" s="147"/>
      <c r="H84" s="147"/>
      <c r="I84" s="147"/>
    </row>
    <row r="85" spans="1:9" x14ac:dyDescent="0.2">
      <c r="A85" s="22" t="s">
        <v>63</v>
      </c>
      <c r="B85" s="23" t="s">
        <v>64</v>
      </c>
      <c r="C85" s="22" t="s">
        <v>65</v>
      </c>
      <c r="D85" s="24" t="s">
        <v>66</v>
      </c>
      <c r="E85" s="22" t="s">
        <v>67</v>
      </c>
      <c r="F85" s="22"/>
      <c r="G85" s="22"/>
      <c r="H85" s="22"/>
      <c r="I85" s="147"/>
    </row>
    <row r="86" spans="1:9" ht="14.25" x14ac:dyDescent="0.2">
      <c r="A86" s="25" t="s">
        <v>68</v>
      </c>
      <c r="B86" s="26">
        <v>6.5000000000000002E-2</v>
      </c>
      <c r="C86" s="22" t="s">
        <v>69</v>
      </c>
      <c r="D86" s="24"/>
      <c r="E86" s="22"/>
      <c r="F86" s="22"/>
      <c r="G86" s="22"/>
      <c r="H86" s="22"/>
      <c r="I86" s="147"/>
    </row>
    <row r="87" spans="1:9" ht="15" x14ac:dyDescent="0.25">
      <c r="A87" s="27" t="s">
        <v>70</v>
      </c>
      <c r="B87" s="26">
        <v>0</v>
      </c>
      <c r="C87" s="22" t="s">
        <v>71</v>
      </c>
      <c r="D87" s="24"/>
      <c r="E87" s="22"/>
      <c r="F87" s="22"/>
      <c r="G87" s="22"/>
      <c r="H87" s="22"/>
      <c r="I87" s="147"/>
    </row>
    <row r="88" spans="1:9" ht="15" x14ac:dyDescent="0.25">
      <c r="A88" s="27" t="s">
        <v>72</v>
      </c>
      <c r="B88" s="26">
        <v>4.9000000000000002E-2</v>
      </c>
      <c r="C88" s="22" t="s">
        <v>69</v>
      </c>
      <c r="D88" s="28">
        <v>50</v>
      </c>
      <c r="E88" s="22"/>
      <c r="F88" s="22"/>
      <c r="G88" s="22"/>
      <c r="H88" s="22"/>
      <c r="I88" s="147"/>
    </row>
    <row r="89" spans="1:9" ht="15" x14ac:dyDescent="0.25">
      <c r="A89" s="27" t="s">
        <v>73</v>
      </c>
      <c r="B89" s="29">
        <v>0.01</v>
      </c>
      <c r="C89" s="22" t="s">
        <v>71</v>
      </c>
      <c r="D89" s="24"/>
      <c r="E89" s="22"/>
      <c r="F89" s="22"/>
      <c r="G89" s="22"/>
      <c r="H89" s="22"/>
      <c r="I89" s="147"/>
    </row>
    <row r="90" spans="1:9" ht="15" x14ac:dyDescent="0.25">
      <c r="A90" s="27" t="s">
        <v>74</v>
      </c>
      <c r="B90" s="26">
        <v>8.8400000000000006E-2</v>
      </c>
      <c r="C90" s="22" t="s">
        <v>69</v>
      </c>
      <c r="D90" s="28">
        <v>800</v>
      </c>
      <c r="E90" s="22"/>
      <c r="F90" s="22"/>
      <c r="G90" s="22"/>
      <c r="H90" s="22"/>
      <c r="I90" s="147"/>
    </row>
    <row r="91" spans="1:9" ht="15" x14ac:dyDescent="0.25">
      <c r="A91" s="27" t="s">
        <v>75</v>
      </c>
      <c r="B91" s="26">
        <v>4.6300000000000001E-2</v>
      </c>
      <c r="C91" s="22" t="s">
        <v>69</v>
      </c>
      <c r="D91" s="24"/>
      <c r="E91" s="22"/>
      <c r="F91" s="22"/>
      <c r="G91" s="22"/>
      <c r="H91" s="22"/>
      <c r="I91" s="147"/>
    </row>
    <row r="92" spans="1:9" ht="15" x14ac:dyDescent="0.25">
      <c r="A92" s="27" t="s">
        <v>76</v>
      </c>
      <c r="B92" s="26">
        <v>7.4999999999999997E-2</v>
      </c>
      <c r="C92" s="22" t="s">
        <v>69</v>
      </c>
      <c r="D92" s="28">
        <v>250</v>
      </c>
      <c r="E92" s="30" t="s">
        <v>77</v>
      </c>
      <c r="F92" s="30"/>
      <c r="G92" s="30"/>
      <c r="H92" s="30"/>
      <c r="I92" s="147"/>
    </row>
    <row r="93" spans="1:9" ht="15" x14ac:dyDescent="0.25">
      <c r="A93" s="27" t="s">
        <v>78</v>
      </c>
      <c r="B93" s="26">
        <v>8.6999999999999994E-2</v>
      </c>
      <c r="C93" s="22" t="s">
        <v>69</v>
      </c>
      <c r="D93" s="24"/>
      <c r="E93" s="22"/>
      <c r="F93" s="22"/>
      <c r="G93" s="22"/>
      <c r="H93" s="22"/>
      <c r="I93" s="147"/>
    </row>
    <row r="94" spans="1:9" ht="15" x14ac:dyDescent="0.25">
      <c r="A94" s="27" t="s">
        <v>79</v>
      </c>
      <c r="B94" s="26">
        <v>4.4580000000000002E-2</v>
      </c>
      <c r="C94" s="22" t="s">
        <v>69</v>
      </c>
      <c r="D94" s="24"/>
      <c r="E94" s="22"/>
      <c r="F94" s="22"/>
      <c r="G94" s="22"/>
      <c r="H94" s="22"/>
      <c r="I94" s="147"/>
    </row>
    <row r="95" spans="1:9" ht="15" x14ac:dyDescent="0.25">
      <c r="A95" s="27" t="s">
        <v>80</v>
      </c>
      <c r="B95" s="26">
        <v>5.7500000000000002E-2</v>
      </c>
      <c r="C95" s="22" t="s">
        <v>69</v>
      </c>
      <c r="D95" s="24"/>
      <c r="E95" s="22"/>
      <c r="F95" s="22"/>
      <c r="G95" s="22"/>
      <c r="H95" s="22"/>
      <c r="I95" s="147"/>
    </row>
    <row r="96" spans="1:9" ht="15" x14ac:dyDescent="0.25">
      <c r="A96" s="27" t="s">
        <v>81</v>
      </c>
      <c r="B96" s="26">
        <v>4.3999999999999997E-2</v>
      </c>
      <c r="C96" s="22" t="s">
        <v>71</v>
      </c>
      <c r="D96" s="24"/>
      <c r="E96" s="30" t="s">
        <v>82</v>
      </c>
      <c r="F96" s="30"/>
      <c r="G96" s="30"/>
      <c r="H96" s="30"/>
      <c r="I96" s="147"/>
    </row>
    <row r="97" spans="1:9" ht="15" x14ac:dyDescent="0.25">
      <c r="A97" s="27" t="s">
        <v>83</v>
      </c>
      <c r="B97" s="26">
        <v>6.9250000000000006E-2</v>
      </c>
      <c r="C97" s="22" t="s">
        <v>69</v>
      </c>
      <c r="D97" s="28">
        <v>20</v>
      </c>
      <c r="E97" s="30" t="s">
        <v>84</v>
      </c>
      <c r="F97" s="30"/>
      <c r="G97" s="30"/>
      <c r="H97" s="30"/>
      <c r="I97" s="147"/>
    </row>
    <row r="98" spans="1:9" ht="15" x14ac:dyDescent="0.25">
      <c r="A98" s="27" t="s">
        <v>85</v>
      </c>
      <c r="B98" s="26">
        <v>9.5000000000000001E-2</v>
      </c>
      <c r="C98" s="22" t="s">
        <v>69</v>
      </c>
      <c r="D98" s="24"/>
      <c r="E98" s="30" t="s">
        <v>86</v>
      </c>
      <c r="F98" s="30"/>
      <c r="G98" s="30"/>
      <c r="H98" s="30"/>
      <c r="I98" s="147"/>
    </row>
    <row r="99" spans="1:9" ht="15" x14ac:dyDescent="0.25">
      <c r="A99" s="27" t="s">
        <v>87</v>
      </c>
      <c r="B99" s="26">
        <v>5.2499999999999998E-2</v>
      </c>
      <c r="C99" s="22" t="s">
        <v>69</v>
      </c>
      <c r="D99" s="24"/>
      <c r="E99" s="22"/>
      <c r="F99" s="22"/>
      <c r="G99" s="22"/>
      <c r="H99" s="22"/>
      <c r="I99" s="147"/>
    </row>
    <row r="100" spans="1:9" ht="15" x14ac:dyDescent="0.25">
      <c r="A100" s="27" t="s">
        <v>88</v>
      </c>
      <c r="B100" s="26">
        <v>0.06</v>
      </c>
      <c r="C100" s="22" t="s">
        <v>71</v>
      </c>
      <c r="D100" s="24"/>
      <c r="E100" s="22"/>
      <c r="F100" s="22"/>
      <c r="G100" s="22"/>
      <c r="H100" s="22"/>
      <c r="I100" s="147"/>
    </row>
    <row r="101" spans="1:9" ht="15" x14ac:dyDescent="0.25">
      <c r="A101" s="27" t="s">
        <v>89</v>
      </c>
      <c r="B101" s="26">
        <v>0.04</v>
      </c>
      <c r="C101" s="22" t="s">
        <v>69</v>
      </c>
      <c r="D101" s="24"/>
      <c r="E101" s="22"/>
      <c r="F101" s="22"/>
      <c r="G101" s="22"/>
      <c r="H101" s="22"/>
      <c r="I101" s="147"/>
    </row>
    <row r="102" spans="1:9" ht="15" x14ac:dyDescent="0.25">
      <c r="A102" s="27" t="s">
        <v>90</v>
      </c>
      <c r="B102" s="26">
        <v>0.05</v>
      </c>
      <c r="C102" s="22" t="s">
        <v>69</v>
      </c>
      <c r="D102" s="24"/>
      <c r="E102" s="22"/>
      <c r="F102" s="22"/>
      <c r="G102" s="22"/>
      <c r="H102" s="22"/>
      <c r="I102" s="147"/>
    </row>
    <row r="103" spans="1:9" ht="15" x14ac:dyDescent="0.25">
      <c r="A103" s="27" t="s">
        <v>91</v>
      </c>
      <c r="B103" s="26">
        <v>0.04</v>
      </c>
      <c r="C103" s="22" t="s">
        <v>71</v>
      </c>
      <c r="D103" s="24"/>
      <c r="E103" s="22"/>
      <c r="F103" s="22"/>
      <c r="G103" s="22"/>
      <c r="H103" s="22"/>
      <c r="I103" s="147"/>
    </row>
    <row r="104" spans="1:9" ht="15" x14ac:dyDescent="0.25">
      <c r="A104" s="27" t="s">
        <v>92</v>
      </c>
      <c r="B104" s="26">
        <v>3.5000000000000003E-2</v>
      </c>
      <c r="C104" s="22" t="s">
        <v>71</v>
      </c>
      <c r="D104" s="24"/>
      <c r="E104" s="22"/>
      <c r="F104" s="22"/>
      <c r="G104" s="22"/>
      <c r="H104" s="22"/>
      <c r="I104" s="147"/>
    </row>
    <row r="105" spans="1:9" ht="15" x14ac:dyDescent="0.25">
      <c r="A105" s="27" t="s">
        <v>93</v>
      </c>
      <c r="B105" s="26">
        <v>8.2500000000000004E-2</v>
      </c>
      <c r="C105" s="22" t="s">
        <v>69</v>
      </c>
      <c r="D105" s="24"/>
      <c r="E105" s="22"/>
      <c r="F105" s="22"/>
      <c r="G105" s="22"/>
      <c r="H105" s="22"/>
      <c r="I105" s="147"/>
    </row>
    <row r="106" spans="1:9" ht="15" x14ac:dyDescent="0.25">
      <c r="A106" s="27" t="s">
        <v>94</v>
      </c>
      <c r="B106" s="26">
        <v>0.08</v>
      </c>
      <c r="C106" s="22" t="s">
        <v>69</v>
      </c>
      <c r="D106" s="28">
        <v>456</v>
      </c>
      <c r="E106" s="30" t="s">
        <v>95</v>
      </c>
      <c r="F106" s="30"/>
      <c r="G106" s="30"/>
      <c r="H106" s="30"/>
      <c r="I106" s="147"/>
    </row>
    <row r="107" spans="1:9" ht="15" x14ac:dyDescent="0.25">
      <c r="A107" s="27" t="s">
        <v>96</v>
      </c>
      <c r="B107" s="31">
        <v>0.06</v>
      </c>
      <c r="C107" s="32" t="s">
        <v>69</v>
      </c>
      <c r="D107" s="24"/>
      <c r="E107" s="22"/>
      <c r="F107" s="22"/>
      <c r="G107" s="22"/>
      <c r="H107" s="22"/>
      <c r="I107" s="147"/>
    </row>
    <row r="108" spans="1:9" ht="15" x14ac:dyDescent="0.25">
      <c r="A108" s="27" t="s">
        <v>97</v>
      </c>
      <c r="B108" s="31">
        <v>9.8000000000000004E-2</v>
      </c>
      <c r="C108" s="32" t="s">
        <v>69</v>
      </c>
      <c r="D108" s="24"/>
      <c r="E108" s="33" t="s">
        <v>98</v>
      </c>
      <c r="F108" s="30"/>
      <c r="G108" s="30"/>
      <c r="H108" s="30"/>
      <c r="I108" s="147"/>
    </row>
    <row r="109" spans="1:9" ht="15" x14ac:dyDescent="0.25">
      <c r="A109" s="27" t="s">
        <v>99</v>
      </c>
      <c r="B109" s="31">
        <v>0</v>
      </c>
      <c r="C109" s="32" t="s">
        <v>71</v>
      </c>
      <c r="D109" s="24"/>
      <c r="E109" s="22"/>
      <c r="F109" s="22"/>
      <c r="G109" s="22"/>
      <c r="H109" s="22"/>
      <c r="I109" s="147"/>
    </row>
    <row r="110" spans="1:9" ht="15" x14ac:dyDescent="0.25">
      <c r="A110" s="27" t="s">
        <v>100</v>
      </c>
      <c r="B110" s="31">
        <v>0.04</v>
      </c>
      <c r="C110" s="32" t="s">
        <v>69</v>
      </c>
      <c r="D110" s="24"/>
      <c r="E110" s="22"/>
      <c r="F110" s="22"/>
      <c r="G110" s="22"/>
      <c r="H110" s="22"/>
      <c r="I110" s="147"/>
    </row>
    <row r="111" spans="1:9" ht="15" x14ac:dyDescent="0.25">
      <c r="A111" s="27" t="s">
        <v>101</v>
      </c>
      <c r="B111" s="31">
        <v>6.8000000000000005E-2</v>
      </c>
      <c r="C111" s="32" t="s">
        <v>69</v>
      </c>
      <c r="D111" s="34">
        <v>50</v>
      </c>
      <c r="E111" s="33" t="s">
        <v>102</v>
      </c>
      <c r="F111" s="30"/>
      <c r="G111" s="30"/>
      <c r="H111" s="30"/>
      <c r="I111" s="147"/>
    </row>
    <row r="112" spans="1:9" ht="15" x14ac:dyDescent="0.25">
      <c r="A112" s="27" t="s">
        <v>103</v>
      </c>
      <c r="B112" s="31">
        <v>5.6000000000000001E-2</v>
      </c>
      <c r="C112" s="32" t="s">
        <v>71</v>
      </c>
      <c r="D112" s="24"/>
      <c r="E112" s="22"/>
      <c r="F112" s="22"/>
      <c r="G112" s="22"/>
      <c r="H112" s="22"/>
      <c r="I112" s="147"/>
    </row>
    <row r="113" spans="1:9" ht="15" x14ac:dyDescent="0.25">
      <c r="A113" s="27" t="s">
        <v>104</v>
      </c>
      <c r="B113" s="31">
        <v>0</v>
      </c>
      <c r="C113" s="32" t="s">
        <v>69</v>
      </c>
      <c r="D113" s="24"/>
      <c r="E113" s="22"/>
      <c r="F113" s="22"/>
      <c r="G113" s="22"/>
      <c r="H113" s="22"/>
      <c r="I113" s="147"/>
    </row>
    <row r="114" spans="1:9" ht="15" x14ac:dyDescent="0.25">
      <c r="A114" s="27" t="s">
        <v>105</v>
      </c>
      <c r="B114" s="31">
        <v>7.4999999999999997E-2</v>
      </c>
      <c r="C114" s="32" t="s">
        <v>69</v>
      </c>
      <c r="D114" s="24"/>
      <c r="E114" s="33" t="s">
        <v>106</v>
      </c>
      <c r="F114" s="30"/>
      <c r="G114" s="30"/>
      <c r="H114" s="30"/>
      <c r="I114" s="147"/>
    </row>
    <row r="115" spans="1:9" ht="15" x14ac:dyDescent="0.25">
      <c r="A115" s="27" t="s">
        <v>107</v>
      </c>
      <c r="B115" s="31">
        <v>0.09</v>
      </c>
      <c r="C115" s="32" t="s">
        <v>69</v>
      </c>
      <c r="D115" s="24"/>
      <c r="E115" s="22"/>
      <c r="F115" s="22"/>
      <c r="G115" s="22"/>
      <c r="H115" s="22"/>
      <c r="I115" s="147"/>
    </row>
    <row r="116" spans="1:9" ht="15" x14ac:dyDescent="0.25">
      <c r="A116" s="27" t="s">
        <v>108</v>
      </c>
      <c r="B116" s="31">
        <v>4.8000000000000001E-2</v>
      </c>
      <c r="C116" s="32" t="s">
        <v>71</v>
      </c>
      <c r="D116" s="24"/>
      <c r="E116" s="22"/>
      <c r="F116" s="22"/>
      <c r="G116" s="22"/>
      <c r="H116" s="22"/>
      <c r="I116" s="147"/>
    </row>
    <row r="117" spans="1:9" ht="15" x14ac:dyDescent="0.25">
      <c r="A117" s="27" t="s">
        <v>109</v>
      </c>
      <c r="B117" s="31">
        <v>6.5000000000000002E-2</v>
      </c>
      <c r="C117" s="32" t="s">
        <v>69</v>
      </c>
      <c r="D117" s="24"/>
      <c r="E117" s="22"/>
      <c r="F117" s="22"/>
      <c r="G117" s="22"/>
      <c r="H117" s="22"/>
      <c r="I117" s="147"/>
    </row>
    <row r="118" spans="1:9" ht="15" x14ac:dyDescent="0.25">
      <c r="A118" s="27" t="s">
        <v>110</v>
      </c>
      <c r="B118" s="31">
        <v>2.5000000000000001E-2</v>
      </c>
      <c r="C118" s="32" t="s">
        <v>69</v>
      </c>
      <c r="D118" s="24"/>
      <c r="E118" s="22"/>
      <c r="F118" s="22"/>
      <c r="G118" s="22"/>
      <c r="H118" s="22"/>
      <c r="I118" s="147"/>
    </row>
    <row r="119" spans="1:9" ht="15" x14ac:dyDescent="0.25">
      <c r="A119" s="27" t="s">
        <v>111</v>
      </c>
      <c r="B119" s="31">
        <v>1.4E-2</v>
      </c>
      <c r="C119" s="32" t="s">
        <v>71</v>
      </c>
      <c r="D119" s="24"/>
      <c r="E119" s="22"/>
      <c r="F119" s="22"/>
      <c r="G119" s="22"/>
      <c r="H119" s="22"/>
      <c r="I119" s="147"/>
    </row>
    <row r="120" spans="1:9" ht="15" x14ac:dyDescent="0.25">
      <c r="A120" s="27" t="s">
        <v>112</v>
      </c>
      <c r="B120" s="23"/>
      <c r="C120" s="22"/>
      <c r="D120" s="24"/>
      <c r="E120" s="33" t="s">
        <v>113</v>
      </c>
      <c r="F120" s="30"/>
      <c r="G120" s="30"/>
      <c r="H120" s="30"/>
      <c r="I120" s="147"/>
    </row>
    <row r="121" spans="1:9" ht="15" x14ac:dyDescent="0.25">
      <c r="A121" s="27" t="s">
        <v>114</v>
      </c>
      <c r="B121" s="31">
        <v>0.06</v>
      </c>
      <c r="C121" s="32" t="s">
        <v>69</v>
      </c>
      <c r="D121" s="24"/>
      <c r="E121" s="22"/>
      <c r="F121" s="22"/>
      <c r="G121" s="22"/>
      <c r="H121" s="22"/>
      <c r="I121" s="147"/>
    </row>
    <row r="122" spans="1:9" ht="15" x14ac:dyDescent="0.25">
      <c r="A122" s="27" t="s">
        <v>115</v>
      </c>
      <c r="B122" s="31">
        <v>6.6000000000000003E-2</v>
      </c>
      <c r="C122" s="32" t="s">
        <v>71</v>
      </c>
      <c r="D122" s="34">
        <v>150</v>
      </c>
      <c r="E122" s="33" t="s">
        <v>116</v>
      </c>
      <c r="F122" s="30"/>
      <c r="G122" s="30"/>
      <c r="H122" s="30"/>
      <c r="I122" s="147"/>
    </row>
    <row r="123" spans="1:9" ht="15" x14ac:dyDescent="0.25">
      <c r="A123" s="27" t="s">
        <v>117</v>
      </c>
      <c r="B123" s="31">
        <v>0.1</v>
      </c>
      <c r="C123" s="32" t="s">
        <v>69</v>
      </c>
      <c r="D123" s="24"/>
      <c r="E123" s="22"/>
      <c r="F123" s="22"/>
      <c r="G123" s="22"/>
      <c r="H123" s="22"/>
      <c r="I123" s="147"/>
    </row>
    <row r="124" spans="1:9" ht="15" x14ac:dyDescent="0.25">
      <c r="A124" s="27" t="s">
        <v>118</v>
      </c>
      <c r="B124" s="31">
        <v>7.0000000000000007E-2</v>
      </c>
      <c r="C124" s="32" t="s">
        <v>69</v>
      </c>
      <c r="D124" s="35">
        <v>400</v>
      </c>
      <c r="E124" s="32"/>
      <c r="F124" s="22"/>
      <c r="G124" s="22"/>
      <c r="H124" s="22"/>
      <c r="I124" s="147"/>
    </row>
    <row r="125" spans="1:9" ht="15" x14ac:dyDescent="0.25">
      <c r="A125" s="27" t="s">
        <v>119</v>
      </c>
      <c r="B125" s="31">
        <v>0.05</v>
      </c>
      <c r="C125" s="32" t="s">
        <v>69</v>
      </c>
      <c r="D125" s="24"/>
      <c r="E125" s="22"/>
      <c r="F125" s="22"/>
      <c r="G125" s="22"/>
      <c r="H125" s="22"/>
      <c r="I125" s="147"/>
    </row>
    <row r="126" spans="1:9" ht="15" x14ac:dyDescent="0.25">
      <c r="A126" s="27" t="s">
        <v>120</v>
      </c>
      <c r="B126" s="31">
        <v>0</v>
      </c>
      <c r="C126" s="32" t="s">
        <v>69</v>
      </c>
      <c r="D126" s="24"/>
      <c r="E126" s="22"/>
      <c r="F126" s="22"/>
      <c r="G126" s="22"/>
      <c r="H126" s="22"/>
      <c r="I126" s="147"/>
    </row>
    <row r="127" spans="1:9" ht="15" x14ac:dyDescent="0.25">
      <c r="A127" s="27" t="s">
        <v>121</v>
      </c>
      <c r="B127" s="31">
        <v>6.5000000000000002E-2</v>
      </c>
      <c r="C127" s="32" t="s">
        <v>69</v>
      </c>
      <c r="D127" s="24"/>
      <c r="E127" s="22"/>
      <c r="F127" s="22"/>
      <c r="G127" s="22"/>
      <c r="H127" s="22"/>
      <c r="I127" s="147"/>
    </row>
    <row r="128" spans="1:9" ht="15" x14ac:dyDescent="0.25">
      <c r="A128" s="27" t="s">
        <v>122</v>
      </c>
      <c r="B128" s="23"/>
      <c r="C128" s="22"/>
      <c r="D128" s="24"/>
      <c r="E128" s="33" t="s">
        <v>123</v>
      </c>
      <c r="F128" s="30"/>
      <c r="G128" s="30"/>
      <c r="H128" s="30"/>
      <c r="I128" s="147"/>
    </row>
    <row r="129" spans="1:9" ht="15" x14ac:dyDescent="0.25">
      <c r="A129" s="27" t="s">
        <v>124</v>
      </c>
      <c r="B129" s="31">
        <v>0.05</v>
      </c>
      <c r="C129" s="32" t="s">
        <v>69</v>
      </c>
      <c r="D129" s="35">
        <v>100</v>
      </c>
      <c r="E129" s="32"/>
      <c r="F129" s="22"/>
      <c r="G129" s="22"/>
      <c r="H129" s="22"/>
      <c r="I129" s="147"/>
    </row>
    <row r="130" spans="1:9" ht="15" x14ac:dyDescent="0.25">
      <c r="A130" s="27" t="s">
        <v>125</v>
      </c>
      <c r="B130" s="31">
        <v>0.06</v>
      </c>
      <c r="C130" s="32" t="s">
        <v>71</v>
      </c>
      <c r="D130" s="35">
        <v>300</v>
      </c>
      <c r="E130" s="32"/>
      <c r="F130" s="22"/>
      <c r="G130" s="22"/>
      <c r="H130" s="22"/>
      <c r="I130" s="147"/>
    </row>
    <row r="131" spans="1:9" ht="15" x14ac:dyDescent="0.25">
      <c r="A131" s="27" t="s">
        <v>126</v>
      </c>
      <c r="B131" s="31">
        <v>0.06</v>
      </c>
      <c r="C131" s="32" t="s">
        <v>69</v>
      </c>
      <c r="D131" s="24"/>
      <c r="E131" s="22"/>
      <c r="F131" s="22"/>
      <c r="G131" s="22"/>
      <c r="H131" s="22"/>
      <c r="I131" s="147"/>
    </row>
    <row r="132" spans="1:9" ht="15" x14ac:dyDescent="0.25">
      <c r="A132" s="27" t="s">
        <v>127</v>
      </c>
      <c r="B132" s="31">
        <v>0</v>
      </c>
      <c r="C132" s="32" t="s">
        <v>69</v>
      </c>
      <c r="D132" s="24"/>
      <c r="E132" s="22"/>
      <c r="F132" s="22"/>
      <c r="G132" s="22"/>
      <c r="H132" s="22"/>
      <c r="I132" s="147"/>
    </row>
    <row r="133" spans="1:9" ht="15" x14ac:dyDescent="0.25">
      <c r="A133" s="27" t="s">
        <v>128</v>
      </c>
      <c r="B133" s="31">
        <v>6.5000000000000002E-2</v>
      </c>
      <c r="C133" s="32" t="s">
        <v>69</v>
      </c>
      <c r="D133" s="24"/>
      <c r="E133" s="22"/>
      <c r="F133" s="22"/>
      <c r="G133" s="22"/>
      <c r="H133" s="22"/>
      <c r="I133" s="147"/>
    </row>
    <row r="134" spans="1:9" ht="15" x14ac:dyDescent="0.25">
      <c r="A134" s="27" t="s">
        <v>129</v>
      </c>
      <c r="B134" s="31">
        <v>7.9000000000000001E-2</v>
      </c>
      <c r="C134" s="32" t="s">
        <v>69</v>
      </c>
      <c r="D134" s="24"/>
      <c r="E134" s="22"/>
      <c r="F134" s="22"/>
      <c r="G134" s="22"/>
      <c r="H134" s="22"/>
      <c r="I134" s="147"/>
    </row>
    <row r="135" spans="1:9" ht="15" x14ac:dyDescent="0.25">
      <c r="A135" s="27" t="s">
        <v>130</v>
      </c>
      <c r="B135" s="31">
        <v>0</v>
      </c>
      <c r="C135" s="32" t="s">
        <v>69</v>
      </c>
      <c r="D135" s="24"/>
      <c r="E135" s="22"/>
      <c r="F135" s="22"/>
      <c r="G135" s="22"/>
      <c r="H135" s="22"/>
      <c r="I135" s="147"/>
    </row>
    <row r="136" spans="1:9" x14ac:dyDescent="0.2">
      <c r="A136" s="147"/>
      <c r="B136" s="147"/>
      <c r="C136" s="147"/>
      <c r="D136" s="147"/>
      <c r="E136" s="147"/>
      <c r="F136" s="147"/>
      <c r="G136" s="147"/>
      <c r="H136" s="147"/>
      <c r="I136" s="147"/>
    </row>
    <row r="137" spans="1:9" x14ac:dyDescent="0.2">
      <c r="A137" s="147"/>
      <c r="B137" s="22" t="s">
        <v>131</v>
      </c>
      <c r="C137" s="147"/>
      <c r="D137" s="21">
        <f>COUNT(D86:D135)</f>
        <v>10</v>
      </c>
      <c r="E137" s="147"/>
      <c r="F137" s="147"/>
      <c r="G137" s="147"/>
      <c r="H137" s="147"/>
      <c r="I137" s="147"/>
    </row>
    <row r="138" spans="1:9" x14ac:dyDescent="0.2">
      <c r="A138" s="147"/>
      <c r="B138" s="22" t="s">
        <v>132</v>
      </c>
      <c r="C138" s="147"/>
      <c r="D138" s="13">
        <f>AVERAGE(D86:D135)</f>
        <v>257.60000000000002</v>
      </c>
      <c r="E138" s="147"/>
      <c r="F138" s="147"/>
      <c r="G138" s="147"/>
      <c r="H138" s="147"/>
      <c r="I138" s="147"/>
    </row>
  </sheetData>
  <hyperlinks>
    <hyperlink ref="H6" r:id="rId1"/>
    <hyperlink ref="D83" r:id="rId2"/>
    <hyperlink ref="H1" location="Index!A1" display="Return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97"/>
  <sheetViews>
    <sheetView workbookViewId="0">
      <selection activeCell="E5" sqref="E5"/>
    </sheetView>
  </sheetViews>
  <sheetFormatPr defaultColWidth="8.85546875" defaultRowHeight="12.75" x14ac:dyDescent="0.2"/>
  <cols>
    <col min="1" max="2" width="8.85546875" style="188"/>
    <col min="3" max="3" width="40.85546875" style="188" customWidth="1"/>
    <col min="4" max="16384" width="8.85546875" style="188"/>
  </cols>
  <sheetData>
    <row r="1" spans="1:122" x14ac:dyDescent="0.2">
      <c r="A1" s="322" t="s">
        <v>162</v>
      </c>
      <c r="B1" s="188">
        <v>3</v>
      </c>
      <c r="H1" s="324" t="s">
        <v>3630</v>
      </c>
    </row>
    <row r="2" spans="1:122" x14ac:dyDescent="0.2">
      <c r="A2" s="322" t="s">
        <v>633</v>
      </c>
      <c r="B2" s="323" t="s">
        <v>3503</v>
      </c>
    </row>
    <row r="3" spans="1:122" x14ac:dyDescent="0.2">
      <c r="B3" s="322"/>
    </row>
    <row r="5" spans="1:122" x14ac:dyDescent="0.2">
      <c r="A5" s="322" t="s">
        <v>135</v>
      </c>
      <c r="B5" s="322" t="s">
        <v>3134</v>
      </c>
      <c r="E5" s="324" t="s">
        <v>161</v>
      </c>
    </row>
    <row r="6" spans="1:122" ht="18.75" x14ac:dyDescent="0.3">
      <c r="A6" s="325"/>
      <c r="B6" s="326"/>
      <c r="C6" s="327"/>
      <c r="D6" s="160"/>
      <c r="E6" s="328"/>
      <c r="F6" s="329"/>
      <c r="G6" s="330"/>
      <c r="H6" s="331"/>
      <c r="I6" s="332"/>
      <c r="J6" s="136"/>
      <c r="K6" s="136"/>
      <c r="L6" s="333"/>
      <c r="M6" s="334"/>
      <c r="N6" s="136"/>
      <c r="O6" s="136"/>
      <c r="P6" s="331"/>
      <c r="Q6" s="334"/>
      <c r="R6" s="335"/>
      <c r="S6" s="332"/>
      <c r="T6" s="336"/>
      <c r="U6" s="337"/>
      <c r="V6" s="338"/>
      <c r="W6" s="339"/>
      <c r="X6" s="331"/>
      <c r="Y6" s="340"/>
      <c r="Z6" s="331"/>
      <c r="AA6" s="340"/>
      <c r="AB6" s="331"/>
      <c r="AC6" s="340"/>
      <c r="AD6" s="341"/>
      <c r="AE6" s="167"/>
      <c r="AF6" s="342"/>
      <c r="AG6" s="343"/>
      <c r="AH6" s="331"/>
      <c r="AI6" s="332"/>
      <c r="AJ6" s="160"/>
      <c r="AK6" s="160"/>
      <c r="AL6" s="344"/>
      <c r="AM6" s="160"/>
      <c r="AN6" s="136"/>
      <c r="AO6" s="136"/>
      <c r="AP6" s="160"/>
      <c r="AQ6" s="160"/>
      <c r="AR6" s="136"/>
      <c r="AS6" s="136"/>
      <c r="AT6" s="136"/>
      <c r="AU6" s="136"/>
      <c r="AV6" s="345"/>
      <c r="AW6" s="160"/>
      <c r="AX6" s="160"/>
      <c r="AY6" s="345"/>
      <c r="AZ6" s="160"/>
      <c r="BA6" s="160"/>
      <c r="BB6" s="160"/>
      <c r="BC6" s="160"/>
      <c r="BD6" s="160"/>
      <c r="BE6" s="160"/>
      <c r="BF6" s="345"/>
      <c r="BG6" s="160"/>
      <c r="BH6" s="346"/>
      <c r="BI6" s="346"/>
      <c r="BJ6" s="160"/>
      <c r="BK6" s="160"/>
      <c r="BL6" s="160"/>
      <c r="BM6" s="160"/>
      <c r="BN6" s="136"/>
      <c r="BO6" s="136"/>
      <c r="BP6" s="160"/>
      <c r="BQ6" s="160"/>
      <c r="BR6" s="160"/>
      <c r="BS6" s="160"/>
      <c r="BT6" s="160"/>
      <c r="BU6" s="160"/>
      <c r="BV6" s="160"/>
      <c r="BW6" s="160"/>
      <c r="BX6" s="136"/>
      <c r="BY6" s="136"/>
      <c r="BZ6" s="160"/>
      <c r="CA6" s="160"/>
      <c r="CB6" s="160"/>
      <c r="CC6" s="160"/>
      <c r="CD6" s="136"/>
      <c r="CE6" s="136"/>
      <c r="CF6" s="160"/>
      <c r="CG6" s="160"/>
      <c r="CH6" s="160"/>
      <c r="CI6" s="160"/>
      <c r="CJ6" s="160"/>
      <c r="CK6" s="160"/>
      <c r="CL6" s="160"/>
      <c r="CM6" s="160"/>
      <c r="CN6" s="160"/>
      <c r="CO6" s="160"/>
      <c r="CP6" s="160"/>
      <c r="CQ6" s="160"/>
      <c r="CR6" s="160"/>
      <c r="CS6" s="160"/>
      <c r="CT6" s="160"/>
      <c r="CU6" s="160"/>
      <c r="CV6" s="160"/>
      <c r="CW6" s="160"/>
      <c r="CX6" s="160"/>
      <c r="CY6" s="160"/>
      <c r="CZ6" s="136"/>
      <c r="DA6" s="136"/>
      <c r="DB6" s="136"/>
      <c r="DC6" s="136"/>
      <c r="DD6" s="136"/>
      <c r="DE6" s="136"/>
      <c r="DF6" s="136"/>
      <c r="DG6" s="136"/>
      <c r="DH6" s="136"/>
      <c r="DI6" s="136"/>
      <c r="DJ6" s="136"/>
      <c r="DK6" s="136"/>
      <c r="DL6" s="136"/>
      <c r="DM6" s="136"/>
      <c r="DN6" s="136"/>
      <c r="DO6" s="136"/>
      <c r="DP6" s="136"/>
      <c r="DQ6" s="136"/>
      <c r="DR6" s="136"/>
    </row>
    <row r="7" spans="1:122" ht="19.5" thickBot="1" x14ac:dyDescent="0.35">
      <c r="A7" s="325"/>
      <c r="B7" s="347" t="s">
        <v>736</v>
      </c>
      <c r="C7" s="348" t="s">
        <v>737</v>
      </c>
      <c r="D7" s="160"/>
      <c r="E7" s="328"/>
      <c r="F7" s="769"/>
      <c r="G7" s="769"/>
      <c r="H7" s="331"/>
      <c r="I7" s="332"/>
      <c r="J7" s="136"/>
      <c r="K7" s="136"/>
      <c r="L7" s="333"/>
      <c r="M7" s="334"/>
      <c r="N7" s="136"/>
      <c r="O7" s="136"/>
      <c r="P7" s="331"/>
      <c r="Q7" s="334"/>
      <c r="R7" s="335"/>
      <c r="S7" s="332"/>
      <c r="T7" s="336"/>
      <c r="U7" s="337"/>
      <c r="V7" s="338"/>
      <c r="W7" s="339"/>
      <c r="X7" s="331"/>
      <c r="Y7" s="340"/>
      <c r="Z7" s="331"/>
      <c r="AA7" s="340"/>
      <c r="AB7" s="331"/>
      <c r="AC7" s="340"/>
      <c r="AD7" s="341"/>
      <c r="AE7" s="167"/>
      <c r="AF7" s="342"/>
      <c r="AG7" s="343"/>
      <c r="AH7" s="331"/>
      <c r="AI7" s="332"/>
      <c r="AJ7" s="160"/>
      <c r="AK7" s="160"/>
      <c r="AL7" s="344"/>
      <c r="AM7" s="160"/>
      <c r="AN7" s="136"/>
      <c r="AO7" s="136"/>
      <c r="AP7" s="160"/>
      <c r="AQ7" s="160"/>
      <c r="AR7" s="136"/>
      <c r="AS7" s="136"/>
      <c r="AT7" s="136"/>
      <c r="AU7" s="136"/>
      <c r="AV7" s="345"/>
      <c r="AW7" s="160"/>
      <c r="AX7" s="160"/>
      <c r="AY7" s="345"/>
      <c r="AZ7" s="160"/>
      <c r="BA7" s="160"/>
      <c r="BB7" s="160"/>
      <c r="BC7" s="160"/>
      <c r="BD7" s="160"/>
      <c r="BE7" s="160"/>
      <c r="BF7" s="345"/>
      <c r="BG7" s="160"/>
      <c r="BH7" s="346"/>
      <c r="BI7" s="346"/>
      <c r="BJ7" s="160"/>
      <c r="BK7" s="160"/>
      <c r="BL7" s="160"/>
      <c r="BM7" s="160"/>
      <c r="BN7" s="136"/>
      <c r="BO7" s="136"/>
      <c r="BP7" s="160"/>
      <c r="BQ7" s="160"/>
      <c r="BR7" s="160"/>
      <c r="BS7" s="160"/>
      <c r="BT7" s="160"/>
      <c r="BU7" s="160"/>
      <c r="BV7" s="160"/>
      <c r="BW7" s="160"/>
      <c r="BX7" s="136"/>
      <c r="BY7" s="136"/>
      <c r="BZ7" s="160"/>
      <c r="CA7" s="160"/>
      <c r="CB7" s="160"/>
      <c r="CC7" s="160"/>
      <c r="CD7" s="136"/>
      <c r="CE7" s="136"/>
      <c r="CF7" s="160"/>
      <c r="CG7" s="160"/>
      <c r="CH7" s="160"/>
      <c r="CI7" s="160"/>
      <c r="CJ7" s="160"/>
      <c r="CK7" s="160"/>
      <c r="CL7" s="160"/>
      <c r="CM7" s="160"/>
      <c r="CN7" s="160"/>
      <c r="CO7" s="160"/>
      <c r="CP7" s="160"/>
      <c r="CQ7" s="160"/>
      <c r="CR7" s="160"/>
      <c r="CS7" s="160"/>
      <c r="CT7" s="160"/>
      <c r="CU7" s="160"/>
      <c r="CV7" s="160"/>
      <c r="CW7" s="160"/>
      <c r="CX7" s="160"/>
      <c r="CY7" s="160"/>
      <c r="CZ7" s="136"/>
      <c r="DA7" s="136"/>
      <c r="DB7" s="136"/>
      <c r="DC7" s="136"/>
      <c r="DD7" s="136"/>
      <c r="DE7" s="136"/>
      <c r="DF7" s="136"/>
      <c r="DG7" s="136"/>
      <c r="DH7" s="136"/>
      <c r="DI7" s="136"/>
      <c r="DJ7" s="136"/>
      <c r="DK7" s="136"/>
      <c r="DL7" s="136"/>
      <c r="DM7" s="136"/>
      <c r="DN7" s="136"/>
      <c r="DO7" s="136"/>
      <c r="DP7" s="136"/>
      <c r="DQ7" s="136"/>
      <c r="DR7" s="136"/>
    </row>
    <row r="8" spans="1:122" ht="19.5" thickBot="1" x14ac:dyDescent="0.35">
      <c r="A8" s="325"/>
      <c r="B8" s="347"/>
      <c r="C8" s="327"/>
      <c r="D8" s="160"/>
      <c r="E8" s="328"/>
      <c r="F8" s="329"/>
      <c r="G8" s="330"/>
      <c r="H8" s="331"/>
      <c r="I8" s="332"/>
      <c r="J8" s="136"/>
      <c r="K8" s="136"/>
      <c r="L8" s="333"/>
      <c r="M8" s="334"/>
      <c r="N8" s="349"/>
      <c r="O8" s="350"/>
      <c r="P8" s="331"/>
      <c r="Q8" s="334"/>
      <c r="R8" s="335"/>
      <c r="S8" s="332"/>
      <c r="T8" s="336"/>
      <c r="U8" s="337"/>
      <c r="V8" s="338"/>
      <c r="W8" s="339"/>
      <c r="X8" s="343"/>
      <c r="Y8" s="351"/>
      <c r="Z8" s="343"/>
      <c r="AA8" s="340"/>
      <c r="AB8" s="331"/>
      <c r="AC8" s="340"/>
      <c r="AD8" s="341"/>
      <c r="AE8" s="167"/>
      <c r="AF8" s="342"/>
      <c r="AG8" s="343"/>
      <c r="AH8" s="331"/>
      <c r="AI8" s="332"/>
      <c r="AJ8" s="160"/>
      <c r="AK8" s="160"/>
      <c r="AL8" s="344"/>
      <c r="AM8" s="160"/>
      <c r="AN8" s="136"/>
      <c r="AO8" s="136"/>
      <c r="AP8" s="160"/>
      <c r="AQ8" s="160"/>
      <c r="AR8" s="136"/>
      <c r="AS8" s="136"/>
      <c r="AT8" s="136"/>
      <c r="AU8" s="136"/>
      <c r="AV8" s="352"/>
      <c r="AW8" s="351"/>
      <c r="AX8" s="160"/>
      <c r="AY8" s="345"/>
      <c r="AZ8" s="160"/>
      <c r="BA8" s="160"/>
      <c r="BB8" s="160"/>
      <c r="BC8" s="160"/>
      <c r="BD8" s="353"/>
      <c r="BE8" s="353"/>
      <c r="BF8" s="345"/>
      <c r="BG8" s="160"/>
      <c r="BH8" s="346"/>
      <c r="BI8" s="346"/>
      <c r="BJ8" s="160"/>
      <c r="BK8" s="160"/>
      <c r="BL8" s="160"/>
      <c r="BM8" s="160"/>
      <c r="BN8" s="136"/>
      <c r="BO8" s="136"/>
      <c r="BP8" s="160"/>
      <c r="BQ8" s="160"/>
      <c r="BR8" s="160"/>
      <c r="BS8" s="160"/>
      <c r="BT8" s="160"/>
      <c r="BU8" s="160"/>
      <c r="BV8" s="160"/>
      <c r="BW8" s="160"/>
      <c r="BX8" s="136"/>
      <c r="BY8" s="136"/>
      <c r="BZ8" s="160"/>
      <c r="CA8" s="160"/>
      <c r="CB8" s="160"/>
      <c r="CC8" s="160"/>
      <c r="CD8" s="136"/>
      <c r="CE8" s="136"/>
      <c r="CF8" s="160"/>
      <c r="CG8" s="160"/>
      <c r="CH8" s="160"/>
      <c r="CI8" s="160"/>
      <c r="CJ8" s="160"/>
      <c r="CK8" s="160"/>
      <c r="CL8" s="160"/>
      <c r="CM8" s="160"/>
      <c r="CN8" s="160"/>
      <c r="CO8" s="160"/>
      <c r="CP8" s="160"/>
      <c r="CQ8" s="160"/>
      <c r="CR8" s="160"/>
      <c r="CS8" s="160"/>
      <c r="CT8" s="160"/>
      <c r="CU8" s="160"/>
      <c r="CV8" s="160"/>
      <c r="CW8" s="160"/>
      <c r="CX8" s="160"/>
      <c r="CY8" s="160"/>
      <c r="CZ8" s="136"/>
      <c r="DA8" s="136"/>
      <c r="DB8" s="136"/>
      <c r="DC8" s="136"/>
      <c r="DD8" s="136"/>
      <c r="DE8" s="136"/>
      <c r="DF8" s="136"/>
      <c r="DG8" s="136"/>
      <c r="DH8" s="136"/>
      <c r="DI8" s="136"/>
      <c r="DJ8" s="136"/>
      <c r="DK8" s="136"/>
      <c r="DL8" s="136"/>
      <c r="DM8" s="136"/>
      <c r="DN8" s="136"/>
      <c r="DO8" s="136"/>
      <c r="DP8" s="136"/>
      <c r="DQ8" s="136"/>
      <c r="DR8" s="136"/>
    </row>
    <row r="9" spans="1:122" ht="18.75" x14ac:dyDescent="0.3">
      <c r="A9" s="354"/>
      <c r="B9" s="355" t="s">
        <v>738</v>
      </c>
      <c r="C9" s="348" t="s">
        <v>739</v>
      </c>
      <c r="D9" s="161"/>
      <c r="E9" s="356"/>
      <c r="F9" s="329"/>
      <c r="G9" s="330"/>
      <c r="H9" s="331"/>
      <c r="I9" s="332"/>
      <c r="J9" s="136"/>
      <c r="K9" s="136"/>
      <c r="L9" s="772"/>
      <c r="M9" s="772"/>
      <c r="N9" s="136"/>
      <c r="O9" s="136"/>
      <c r="P9" s="331"/>
      <c r="Q9" s="334"/>
      <c r="R9" s="335"/>
      <c r="S9" s="332"/>
      <c r="T9" s="336"/>
      <c r="U9" s="337"/>
      <c r="V9" s="338"/>
      <c r="W9" s="339"/>
      <c r="X9" s="331"/>
      <c r="Y9" s="340"/>
      <c r="Z9" s="331"/>
      <c r="AA9" s="340"/>
      <c r="AB9" s="331"/>
      <c r="AC9" s="340"/>
      <c r="AD9" s="341"/>
      <c r="AE9" s="167"/>
      <c r="AF9" s="342"/>
      <c r="AG9" s="343"/>
      <c r="AH9" s="331"/>
      <c r="AI9" s="332"/>
      <c r="AJ9" s="161"/>
      <c r="AK9" s="161"/>
      <c r="AL9" s="357"/>
      <c r="AM9" s="161"/>
      <c r="AN9" s="136"/>
      <c r="AO9" s="136"/>
      <c r="AP9" s="161"/>
      <c r="AQ9" s="161"/>
      <c r="AR9" s="136"/>
      <c r="AS9" s="136"/>
      <c r="AT9" s="136"/>
      <c r="AU9" s="136"/>
      <c r="AV9" s="358"/>
      <c r="AW9" s="161"/>
      <c r="AX9" s="161"/>
      <c r="AY9" s="358"/>
      <c r="AZ9" s="161"/>
      <c r="BA9" s="161"/>
      <c r="BB9" s="161"/>
      <c r="BC9" s="161"/>
      <c r="BD9" s="161"/>
      <c r="BE9" s="161"/>
      <c r="BF9" s="358"/>
      <c r="BG9" s="161"/>
      <c r="BH9" s="359"/>
      <c r="BI9" s="359"/>
      <c r="BJ9" s="161"/>
      <c r="BK9" s="161"/>
      <c r="BL9" s="161"/>
      <c r="BM9" s="161"/>
      <c r="BN9" s="136"/>
      <c r="BO9" s="136"/>
      <c r="BP9" s="161"/>
      <c r="BQ9" s="161"/>
      <c r="BR9" s="161"/>
      <c r="BS9" s="161"/>
      <c r="BT9" s="161"/>
      <c r="BU9" s="161"/>
      <c r="BV9" s="161"/>
      <c r="BW9" s="161"/>
      <c r="BX9" s="136"/>
      <c r="BY9" s="136"/>
      <c r="BZ9" s="161"/>
      <c r="CA9" s="161"/>
      <c r="CB9" s="161"/>
      <c r="CC9" s="161"/>
      <c r="CD9" s="136"/>
      <c r="CE9" s="136"/>
      <c r="CF9" s="161"/>
      <c r="CG9" s="161"/>
      <c r="CH9" s="161"/>
      <c r="CI9" s="161"/>
      <c r="CJ9" s="161"/>
      <c r="CK9" s="161"/>
      <c r="CL9" s="161"/>
      <c r="CM9" s="161"/>
      <c r="CN9" s="161"/>
      <c r="CO9" s="161"/>
      <c r="CP9" s="161"/>
      <c r="CQ9" s="161"/>
      <c r="CR9" s="161"/>
      <c r="CS9" s="161"/>
      <c r="CT9" s="161"/>
      <c r="CU9" s="161"/>
      <c r="CV9" s="161"/>
      <c r="CW9" s="161"/>
      <c r="CX9" s="161"/>
      <c r="CY9" s="161"/>
      <c r="CZ9" s="136"/>
      <c r="DA9" s="136"/>
      <c r="DB9" s="136"/>
      <c r="DC9" s="136"/>
      <c r="DD9" s="136"/>
      <c r="DE9" s="136"/>
      <c r="DF9" s="136"/>
      <c r="DG9" s="136"/>
      <c r="DH9" s="136"/>
      <c r="DI9" s="136"/>
      <c r="DJ9" s="136"/>
      <c r="DK9" s="136"/>
      <c r="DL9" s="136"/>
      <c r="DM9" s="136"/>
      <c r="DN9" s="136"/>
      <c r="DO9" s="136"/>
      <c r="DP9" s="136"/>
      <c r="DQ9" s="136"/>
      <c r="DR9" s="136"/>
    </row>
    <row r="10" spans="1:122" ht="34.15" customHeight="1" x14ac:dyDescent="0.3">
      <c r="A10" s="354"/>
      <c r="B10" s="347" t="s">
        <v>740</v>
      </c>
      <c r="C10" s="774" t="s">
        <v>741</v>
      </c>
      <c r="D10" s="774"/>
      <c r="E10" s="774"/>
      <c r="F10" s="774"/>
      <c r="G10" s="774"/>
      <c r="H10" s="774"/>
      <c r="I10" s="774"/>
      <c r="J10" s="774"/>
      <c r="K10" s="774"/>
      <c r="L10" s="774"/>
      <c r="M10" s="775"/>
      <c r="N10" s="136"/>
      <c r="O10" s="136"/>
      <c r="P10" s="331"/>
      <c r="Q10" s="334"/>
      <c r="R10" s="335"/>
      <c r="S10" s="332"/>
      <c r="T10" s="336"/>
      <c r="U10" s="337"/>
      <c r="V10" s="338"/>
      <c r="W10" s="339"/>
      <c r="X10" s="331"/>
      <c r="Y10" s="340"/>
      <c r="Z10" s="331"/>
      <c r="AA10" s="340"/>
      <c r="AB10" s="331"/>
      <c r="AC10" s="340"/>
      <c r="AD10" s="341"/>
      <c r="AE10" s="167"/>
      <c r="AF10" s="342"/>
      <c r="AG10" s="343"/>
      <c r="AH10" s="331"/>
      <c r="AI10" s="332"/>
      <c r="AJ10" s="161"/>
      <c r="AK10" s="161"/>
      <c r="AL10" s="357"/>
      <c r="AM10" s="161"/>
      <c r="AN10" s="136"/>
      <c r="AO10" s="136"/>
      <c r="AP10" s="161"/>
      <c r="AQ10" s="161"/>
      <c r="AR10" s="136"/>
      <c r="AS10" s="136"/>
      <c r="AT10" s="136"/>
      <c r="AU10" s="136"/>
      <c r="AV10" s="358"/>
      <c r="AW10" s="161"/>
      <c r="AX10" s="161"/>
      <c r="AY10" s="358"/>
      <c r="AZ10" s="161"/>
      <c r="BA10" s="161"/>
      <c r="BB10" s="161"/>
      <c r="BC10" s="161"/>
      <c r="BD10" s="161"/>
      <c r="BE10" s="161"/>
      <c r="BF10" s="358"/>
      <c r="BG10" s="161"/>
      <c r="BH10" s="359"/>
      <c r="BI10" s="359"/>
      <c r="BJ10" s="161"/>
      <c r="BK10" s="161"/>
      <c r="BL10" s="161"/>
      <c r="BM10" s="161"/>
      <c r="BN10" s="136"/>
      <c r="BO10" s="136"/>
      <c r="BP10" s="161"/>
      <c r="BQ10" s="161"/>
      <c r="BR10" s="161"/>
      <c r="BS10" s="161"/>
      <c r="BT10" s="161"/>
      <c r="BU10" s="161"/>
      <c r="BV10" s="161"/>
      <c r="BW10" s="161"/>
      <c r="BX10" s="136"/>
      <c r="BY10" s="136"/>
      <c r="BZ10" s="161"/>
      <c r="CA10" s="161"/>
      <c r="CB10" s="161"/>
      <c r="CC10" s="161"/>
      <c r="CD10" s="136"/>
      <c r="CE10" s="136"/>
      <c r="CF10" s="161"/>
      <c r="CG10" s="161"/>
      <c r="CH10" s="161"/>
      <c r="CI10" s="161"/>
      <c r="CJ10" s="161"/>
      <c r="CK10" s="161"/>
      <c r="CL10" s="161"/>
      <c r="CM10" s="161"/>
      <c r="CN10" s="161"/>
      <c r="CO10" s="161"/>
      <c r="CP10" s="161"/>
      <c r="CQ10" s="161"/>
      <c r="CR10" s="161"/>
      <c r="CS10" s="161"/>
      <c r="CT10" s="161"/>
      <c r="CU10" s="161"/>
      <c r="CV10" s="161"/>
      <c r="CW10" s="161"/>
      <c r="CX10" s="161"/>
      <c r="CY10" s="161"/>
      <c r="CZ10" s="136"/>
      <c r="DA10" s="136"/>
      <c r="DB10" s="136"/>
      <c r="DC10" s="136"/>
      <c r="DD10" s="136"/>
      <c r="DE10" s="136"/>
      <c r="DF10" s="136"/>
      <c r="DG10" s="136"/>
      <c r="DH10" s="136"/>
      <c r="DI10" s="136"/>
      <c r="DJ10" s="136"/>
      <c r="DK10" s="136"/>
      <c r="DL10" s="136"/>
      <c r="DM10" s="136"/>
      <c r="DN10" s="136"/>
      <c r="DO10" s="136"/>
      <c r="DP10" s="136"/>
      <c r="DQ10" s="136"/>
      <c r="DR10" s="136"/>
    </row>
    <row r="11" spans="1:122" ht="18.75" x14ac:dyDescent="0.3">
      <c r="A11" s="354"/>
      <c r="B11" s="347"/>
      <c r="C11" s="348"/>
      <c r="D11" s="161"/>
      <c r="E11" s="356"/>
      <c r="F11" s="360"/>
      <c r="G11" s="330"/>
      <c r="H11" s="361"/>
      <c r="I11" s="332"/>
      <c r="J11" s="136"/>
      <c r="K11" s="136"/>
      <c r="L11" s="362"/>
      <c r="M11" s="334"/>
      <c r="N11" s="136"/>
      <c r="O11" s="136"/>
      <c r="P11" s="361"/>
      <c r="Q11" s="334"/>
      <c r="R11" s="335"/>
      <c r="S11" s="332"/>
      <c r="T11" s="363"/>
      <c r="U11" s="337"/>
      <c r="V11" s="364"/>
      <c r="W11" s="364"/>
      <c r="X11" s="365"/>
      <c r="Y11" s="364"/>
      <c r="Z11" s="161"/>
      <c r="AA11" s="161"/>
      <c r="AB11" s="161"/>
      <c r="AC11" s="161"/>
      <c r="AD11" s="357"/>
      <c r="AE11" s="161"/>
      <c r="AF11" s="342"/>
      <c r="AG11" s="343"/>
      <c r="AH11" s="365"/>
      <c r="AI11" s="364"/>
      <c r="AJ11" s="161"/>
      <c r="AK11" s="161"/>
      <c r="AL11" s="342"/>
      <c r="AM11" s="161"/>
      <c r="AN11" s="136"/>
      <c r="AO11" s="136"/>
      <c r="AP11" s="161"/>
      <c r="AQ11" s="161"/>
      <c r="AR11" s="136"/>
      <c r="AS11" s="136"/>
      <c r="AT11" s="136"/>
      <c r="AU11" s="136"/>
      <c r="AV11" s="358"/>
      <c r="AW11" s="161"/>
      <c r="AX11" s="161"/>
      <c r="AY11" s="358"/>
      <c r="AZ11" s="161"/>
      <c r="BA11" s="161"/>
      <c r="BB11" s="161"/>
      <c r="BC11" s="161"/>
      <c r="BD11" s="161"/>
      <c r="BE11" s="161"/>
      <c r="BF11" s="358"/>
      <c r="BG11" s="161"/>
      <c r="BH11" s="359"/>
      <c r="BI11" s="359"/>
      <c r="BJ11" s="161"/>
      <c r="BK11" s="161"/>
      <c r="BL11" s="161"/>
      <c r="BM11" s="161"/>
      <c r="BN11" s="136"/>
      <c r="BO11" s="136"/>
      <c r="BP11" s="161"/>
      <c r="BQ11" s="161"/>
      <c r="BR11" s="161"/>
      <c r="BS11" s="161"/>
      <c r="BT11" s="161"/>
      <c r="BU11" s="161"/>
      <c r="BV11" s="161"/>
      <c r="BW11" s="161"/>
      <c r="BX11" s="136"/>
      <c r="BY11" s="136"/>
      <c r="BZ11" s="161"/>
      <c r="CA11" s="161"/>
      <c r="CB11" s="161"/>
      <c r="CC11" s="161"/>
      <c r="CD11" s="136"/>
      <c r="CE11" s="136"/>
      <c r="CF11" s="161"/>
      <c r="CG11" s="161"/>
      <c r="CH11" s="161"/>
      <c r="CI11" s="161"/>
      <c r="CJ11" s="161"/>
      <c r="CK11" s="161"/>
      <c r="CL11" s="161"/>
      <c r="CM11" s="161"/>
      <c r="CN11" s="161"/>
      <c r="CO11" s="161"/>
      <c r="CP11" s="161"/>
      <c r="CQ11" s="161"/>
      <c r="CR11" s="161"/>
      <c r="CS11" s="161"/>
      <c r="CT11" s="161"/>
      <c r="CU11" s="161"/>
      <c r="CV11" s="161"/>
      <c r="CW11" s="161"/>
      <c r="CX11" s="161"/>
      <c r="CY11" s="161"/>
      <c r="CZ11" s="136"/>
      <c r="DA11" s="136"/>
      <c r="DB11" s="136"/>
      <c r="DC11" s="136"/>
      <c r="DD11" s="136"/>
      <c r="DE11" s="136"/>
      <c r="DF11" s="136"/>
      <c r="DG11" s="136"/>
      <c r="DH11" s="136"/>
      <c r="DI11" s="136"/>
      <c r="DJ11" s="136"/>
      <c r="DK11" s="136"/>
      <c r="DL11" s="136"/>
      <c r="DM11" s="136"/>
      <c r="DN11" s="136"/>
      <c r="DO11" s="136"/>
      <c r="DP11" s="136"/>
      <c r="DQ11" s="136"/>
      <c r="DR11" s="136"/>
    </row>
    <row r="12" spans="1:122" ht="18.75" thickBot="1" x14ac:dyDescent="0.3">
      <c r="A12" s="366"/>
      <c r="B12" s="367"/>
      <c r="C12" s="367" t="s">
        <v>742</v>
      </c>
      <c r="D12" s="770" t="s">
        <v>743</v>
      </c>
      <c r="E12" s="770"/>
      <c r="F12" s="769" t="s">
        <v>744</v>
      </c>
      <c r="G12" s="769"/>
      <c r="H12" s="769" t="s">
        <v>745</v>
      </c>
      <c r="I12" s="769"/>
      <c r="J12" s="769" t="s">
        <v>746</v>
      </c>
      <c r="K12" s="769"/>
      <c r="L12" s="773" t="s">
        <v>747</v>
      </c>
      <c r="M12" s="773"/>
      <c r="N12" s="769" t="s">
        <v>748</v>
      </c>
      <c r="O12" s="769"/>
      <c r="P12" s="770" t="s">
        <v>749</v>
      </c>
      <c r="Q12" s="770"/>
      <c r="R12" s="769" t="s">
        <v>750</v>
      </c>
      <c r="S12" s="771"/>
      <c r="T12" s="769" t="s">
        <v>751</v>
      </c>
      <c r="U12" s="769"/>
      <c r="V12" s="770" t="s">
        <v>752</v>
      </c>
      <c r="W12" s="770"/>
      <c r="X12" s="770" t="s">
        <v>753</v>
      </c>
      <c r="Y12" s="770"/>
      <c r="Z12" s="770" t="s">
        <v>754</v>
      </c>
      <c r="AA12" s="770"/>
      <c r="AB12" s="770" t="s">
        <v>755</v>
      </c>
      <c r="AC12" s="770"/>
      <c r="AD12" s="770" t="s">
        <v>756</v>
      </c>
      <c r="AE12" s="770"/>
      <c r="AF12" s="770" t="s">
        <v>757</v>
      </c>
      <c r="AG12" s="770"/>
      <c r="AH12" s="770" t="s">
        <v>758</v>
      </c>
      <c r="AI12" s="770"/>
      <c r="AJ12" s="770" t="s">
        <v>759</v>
      </c>
      <c r="AK12" s="770"/>
      <c r="AL12" s="770" t="s">
        <v>760</v>
      </c>
      <c r="AM12" s="770"/>
      <c r="AN12" s="770" t="s">
        <v>761</v>
      </c>
      <c r="AO12" s="770"/>
      <c r="AP12" s="770" t="s">
        <v>762</v>
      </c>
      <c r="AQ12" s="770"/>
      <c r="AR12" s="770" t="s">
        <v>763</v>
      </c>
      <c r="AS12" s="770"/>
      <c r="AT12" s="770" t="s">
        <v>764</v>
      </c>
      <c r="AU12" s="770"/>
      <c r="AV12" s="776" t="s">
        <v>765</v>
      </c>
      <c r="AW12" s="776"/>
      <c r="AX12" s="776" t="s">
        <v>766</v>
      </c>
      <c r="AY12" s="776"/>
      <c r="AZ12" s="776" t="s">
        <v>767</v>
      </c>
      <c r="BA12" s="776"/>
      <c r="BB12" s="770" t="s">
        <v>768</v>
      </c>
      <c r="BC12" s="770"/>
      <c r="BD12" s="770" t="s">
        <v>769</v>
      </c>
      <c r="BE12" s="770"/>
      <c r="BF12" s="776" t="s">
        <v>770</v>
      </c>
      <c r="BG12" s="776"/>
      <c r="BH12" s="770" t="s">
        <v>771</v>
      </c>
      <c r="BI12" s="770"/>
      <c r="BJ12" s="770" t="s">
        <v>772</v>
      </c>
      <c r="BK12" s="770"/>
      <c r="BL12" s="770" t="s">
        <v>773</v>
      </c>
      <c r="BM12" s="770"/>
      <c r="BN12" s="769" t="s">
        <v>774</v>
      </c>
      <c r="BO12" s="769"/>
      <c r="BP12" s="770" t="s">
        <v>775</v>
      </c>
      <c r="BQ12" s="770"/>
      <c r="BR12" s="770" t="s">
        <v>776</v>
      </c>
      <c r="BS12" s="770"/>
      <c r="BT12" s="770" t="s">
        <v>777</v>
      </c>
      <c r="BU12" s="770"/>
      <c r="BV12" s="770" t="s">
        <v>778</v>
      </c>
      <c r="BW12" s="770"/>
      <c r="BX12" s="769" t="s">
        <v>779</v>
      </c>
      <c r="BY12" s="769"/>
      <c r="BZ12" s="770" t="s">
        <v>780</v>
      </c>
      <c r="CA12" s="770"/>
      <c r="CB12" s="770" t="s">
        <v>781</v>
      </c>
      <c r="CC12" s="770"/>
      <c r="CD12" s="769" t="s">
        <v>782</v>
      </c>
      <c r="CE12" s="769"/>
      <c r="CF12" s="770" t="s">
        <v>783</v>
      </c>
      <c r="CG12" s="770"/>
      <c r="CH12" s="770" t="s">
        <v>784</v>
      </c>
      <c r="CI12" s="770"/>
      <c r="CJ12" s="770" t="s">
        <v>785</v>
      </c>
      <c r="CK12" s="770"/>
      <c r="CL12" s="770" t="s">
        <v>786</v>
      </c>
      <c r="CM12" s="770"/>
      <c r="CN12" s="770" t="s">
        <v>787</v>
      </c>
      <c r="CO12" s="770"/>
      <c r="CP12" s="770" t="s">
        <v>788</v>
      </c>
      <c r="CQ12" s="770"/>
      <c r="CR12" s="770" t="s">
        <v>789</v>
      </c>
      <c r="CS12" s="770"/>
      <c r="CT12" s="770" t="s">
        <v>790</v>
      </c>
      <c r="CU12" s="770"/>
      <c r="CV12" s="770" t="s">
        <v>791</v>
      </c>
      <c r="CW12" s="770"/>
      <c r="CX12" s="770" t="s">
        <v>792</v>
      </c>
      <c r="CY12" s="770"/>
      <c r="CZ12" s="770" t="s">
        <v>793</v>
      </c>
      <c r="DA12" s="770"/>
      <c r="DB12" s="368"/>
      <c r="DC12" s="369" t="s">
        <v>794</v>
      </c>
      <c r="DD12" s="368"/>
      <c r="DE12" s="368"/>
      <c r="DF12" s="368"/>
      <c r="DG12" s="368"/>
      <c r="DH12" s="368"/>
      <c r="DI12" s="368"/>
      <c r="DJ12" s="368"/>
      <c r="DK12" s="368"/>
      <c r="DL12" s="368"/>
      <c r="DM12" s="368"/>
      <c r="DN12" s="368"/>
      <c r="DO12" s="368"/>
      <c r="DP12" s="368"/>
      <c r="DQ12" s="368"/>
      <c r="DR12" s="368"/>
    </row>
    <row r="13" spans="1:122" ht="18.75" x14ac:dyDescent="0.3">
      <c r="A13" s="325"/>
      <c r="B13" s="326"/>
      <c r="C13" s="327"/>
      <c r="D13" s="160"/>
      <c r="E13" s="328"/>
      <c r="F13" s="370"/>
      <c r="G13" s="173"/>
      <c r="H13" s="168"/>
      <c r="I13" s="168"/>
      <c r="J13" s="173"/>
      <c r="K13" s="371" t="s">
        <v>795</v>
      </c>
      <c r="L13" s="372" t="s">
        <v>546</v>
      </c>
      <c r="M13" s="373"/>
      <c r="N13" s="371"/>
      <c r="O13" s="371"/>
      <c r="P13" s="168" t="s">
        <v>546</v>
      </c>
      <c r="Q13" s="373"/>
      <c r="R13" s="374"/>
      <c r="S13" s="168"/>
      <c r="T13" s="375"/>
      <c r="U13" s="376"/>
      <c r="V13" s="377"/>
      <c r="W13" s="377"/>
      <c r="X13" s="168"/>
      <c r="Y13" s="167"/>
      <c r="Z13" s="168"/>
      <c r="AA13" s="167"/>
      <c r="AB13" s="168"/>
      <c r="AC13" s="167"/>
      <c r="AD13" s="378"/>
      <c r="AE13" s="167"/>
      <c r="AF13" s="173"/>
      <c r="AG13" s="171"/>
      <c r="AH13" s="168"/>
      <c r="AI13" s="168"/>
      <c r="AJ13" s="379"/>
      <c r="AK13" s="175"/>
      <c r="AL13" s="167"/>
      <c r="AM13" s="167"/>
      <c r="AN13" s="371"/>
      <c r="AO13" s="371" t="s">
        <v>795</v>
      </c>
      <c r="AP13" s="168" t="s">
        <v>546</v>
      </c>
      <c r="AQ13" s="167"/>
      <c r="AR13" s="371"/>
      <c r="AS13" s="371" t="s">
        <v>795</v>
      </c>
      <c r="AT13" s="371" t="s">
        <v>546</v>
      </c>
      <c r="AU13" s="380" t="s">
        <v>795</v>
      </c>
      <c r="AV13" s="381" t="s">
        <v>546</v>
      </c>
      <c r="AW13" s="168"/>
      <c r="AX13" s="168"/>
      <c r="AY13" s="382"/>
      <c r="AZ13" s="168"/>
      <c r="BA13" s="373"/>
      <c r="BB13" s="162"/>
      <c r="BC13" s="370"/>
      <c r="BD13" s="383"/>
      <c r="BE13" s="373"/>
      <c r="BF13" s="384"/>
      <c r="BG13" s="168"/>
      <c r="BH13" s="167"/>
      <c r="BI13" s="168"/>
      <c r="BJ13" s="167"/>
      <c r="BK13" s="168"/>
      <c r="BL13" s="168"/>
      <c r="BM13" s="167"/>
      <c r="BN13" s="371"/>
      <c r="BO13" s="380" t="s">
        <v>795</v>
      </c>
      <c r="BP13" s="379" t="s">
        <v>546</v>
      </c>
      <c r="BQ13" s="385"/>
      <c r="BR13" s="168"/>
      <c r="BS13" s="167"/>
      <c r="BT13" s="357"/>
      <c r="BU13" s="357"/>
      <c r="BV13" s="168"/>
      <c r="BW13" s="168"/>
      <c r="BX13" s="371"/>
      <c r="BY13" s="380" t="s">
        <v>795</v>
      </c>
      <c r="BZ13" s="168" t="s">
        <v>546</v>
      </c>
      <c r="CA13" s="167"/>
      <c r="CB13" s="168"/>
      <c r="CC13" s="167"/>
      <c r="CD13" s="173"/>
      <c r="CE13" s="386"/>
      <c r="CF13" s="168" t="s">
        <v>546</v>
      </c>
      <c r="CG13" s="167"/>
      <c r="CH13" s="167"/>
      <c r="CI13" s="167"/>
      <c r="CJ13" s="167"/>
      <c r="CK13" s="168"/>
      <c r="CL13" s="167"/>
      <c r="CM13" s="168"/>
      <c r="CN13" s="357"/>
      <c r="CO13" s="357"/>
      <c r="CP13" s="167"/>
      <c r="CQ13" s="167"/>
      <c r="CR13" s="168"/>
      <c r="CS13" s="167"/>
      <c r="CT13" s="167"/>
      <c r="CU13" s="168"/>
      <c r="CV13" s="387"/>
      <c r="CW13" s="388"/>
      <c r="CX13" s="388"/>
      <c r="CY13" s="388"/>
      <c r="CZ13" s="371"/>
      <c r="DA13" s="371"/>
      <c r="DB13" s="371"/>
      <c r="DC13" s="371"/>
      <c r="DD13" s="371"/>
      <c r="DE13" s="371"/>
      <c r="DF13" s="371"/>
      <c r="DG13" s="371"/>
      <c r="DH13" s="371"/>
      <c r="DI13" s="371"/>
      <c r="DJ13" s="371"/>
      <c r="DK13" s="371"/>
      <c r="DL13" s="371"/>
      <c r="DM13" s="371"/>
      <c r="DN13" s="371"/>
      <c r="DO13" s="371"/>
      <c r="DP13" s="371"/>
      <c r="DQ13" s="371"/>
      <c r="DR13" s="371"/>
    </row>
    <row r="14" spans="1:122" ht="18.75" x14ac:dyDescent="0.3">
      <c r="A14" s="389"/>
      <c r="B14" s="390" t="s">
        <v>546</v>
      </c>
      <c r="C14" s="391" t="s">
        <v>796</v>
      </c>
      <c r="D14" s="392">
        <v>4</v>
      </c>
      <c r="E14" s="393" t="s">
        <v>797</v>
      </c>
      <c r="F14" s="394">
        <v>0</v>
      </c>
      <c r="G14" s="395" t="s">
        <v>798</v>
      </c>
      <c r="H14" s="396">
        <v>6.5</v>
      </c>
      <c r="I14" s="170"/>
      <c r="J14" s="394">
        <v>5.6</v>
      </c>
      <c r="K14" s="397" t="s">
        <v>799</v>
      </c>
      <c r="L14" s="398">
        <v>7.25</v>
      </c>
      <c r="M14" s="399" t="s">
        <v>800</v>
      </c>
      <c r="N14" s="394">
        <v>2.9</v>
      </c>
      <c r="O14" s="172" t="s">
        <v>801</v>
      </c>
      <c r="P14" s="400">
        <v>6.35</v>
      </c>
      <c r="Q14" s="401" t="s">
        <v>802</v>
      </c>
      <c r="R14" s="402">
        <v>0.39829999999999999</v>
      </c>
      <c r="S14" s="170" t="s">
        <v>803</v>
      </c>
      <c r="T14" s="403">
        <v>5.75</v>
      </c>
      <c r="U14" s="404" t="s">
        <v>804</v>
      </c>
      <c r="V14" s="405">
        <v>6</v>
      </c>
      <c r="W14" s="406"/>
      <c r="X14" s="407">
        <v>4</v>
      </c>
      <c r="Y14" s="170"/>
      <c r="Z14" s="407">
        <v>4</v>
      </c>
      <c r="AA14" s="170" t="s">
        <v>805</v>
      </c>
      <c r="AB14" s="407">
        <v>6</v>
      </c>
      <c r="AC14" s="170"/>
      <c r="AD14" s="408">
        <v>6.25</v>
      </c>
      <c r="AE14" s="170"/>
      <c r="AF14" s="394">
        <v>7</v>
      </c>
      <c r="AG14" s="172"/>
      <c r="AH14" s="407">
        <v>6</v>
      </c>
      <c r="AI14" s="170" t="s">
        <v>806</v>
      </c>
      <c r="AJ14" s="407">
        <v>6.5</v>
      </c>
      <c r="AK14" s="409"/>
      <c r="AL14" s="407">
        <v>6</v>
      </c>
      <c r="AM14" s="170"/>
      <c r="AN14" s="394">
        <v>5</v>
      </c>
      <c r="AO14" s="172"/>
      <c r="AP14" s="410">
        <v>5.5</v>
      </c>
      <c r="AQ14" s="170"/>
      <c r="AR14" s="394">
        <v>6</v>
      </c>
      <c r="AS14" s="172" t="s">
        <v>807</v>
      </c>
      <c r="AT14" s="394">
        <v>6.25</v>
      </c>
      <c r="AU14" s="172"/>
      <c r="AV14" s="411">
        <v>6</v>
      </c>
      <c r="AW14" s="170"/>
      <c r="AX14" s="412">
        <v>6.875</v>
      </c>
      <c r="AY14" s="401" t="s">
        <v>808</v>
      </c>
      <c r="AZ14" s="407">
        <v>7</v>
      </c>
      <c r="BA14" s="401"/>
      <c r="BB14" s="163">
        <v>4.2249999999999996</v>
      </c>
      <c r="BC14" s="413" t="s">
        <v>809</v>
      </c>
      <c r="BD14" s="414">
        <v>0</v>
      </c>
      <c r="BE14" s="401"/>
      <c r="BF14" s="415">
        <v>5.5</v>
      </c>
      <c r="BG14" s="170" t="s">
        <v>810</v>
      </c>
      <c r="BH14" s="416">
        <v>6.85</v>
      </c>
      <c r="BI14" s="399" t="s">
        <v>811</v>
      </c>
      <c r="BJ14" s="407">
        <v>0</v>
      </c>
      <c r="BK14" s="170" t="s">
        <v>812</v>
      </c>
      <c r="BL14" s="407">
        <v>6.875</v>
      </c>
      <c r="BM14" s="170"/>
      <c r="BN14" s="417">
        <v>5.125</v>
      </c>
      <c r="BO14" s="172" t="s">
        <v>813</v>
      </c>
      <c r="BP14" s="418">
        <v>4</v>
      </c>
      <c r="BQ14" s="419" t="s">
        <v>814</v>
      </c>
      <c r="BR14" s="407">
        <v>4.75</v>
      </c>
      <c r="BS14" s="170" t="s">
        <v>815</v>
      </c>
      <c r="BT14" s="407">
        <v>5</v>
      </c>
      <c r="BU14" s="170" t="s">
        <v>816</v>
      </c>
      <c r="BV14" s="405">
        <v>5.75</v>
      </c>
      <c r="BW14" s="170" t="s">
        <v>817</v>
      </c>
      <c r="BX14" s="420">
        <v>4.5</v>
      </c>
      <c r="BY14" s="172" t="s">
        <v>818</v>
      </c>
      <c r="BZ14" s="416">
        <v>0</v>
      </c>
      <c r="CA14" s="170" t="s">
        <v>819</v>
      </c>
      <c r="CB14" s="407">
        <v>6</v>
      </c>
      <c r="CC14" s="170"/>
      <c r="CD14" s="394">
        <v>7</v>
      </c>
      <c r="CE14" s="172"/>
      <c r="CF14" s="421">
        <v>6</v>
      </c>
      <c r="CG14" s="399" t="s">
        <v>820</v>
      </c>
      <c r="CH14" s="407">
        <v>4.5</v>
      </c>
      <c r="CI14" s="170" t="s">
        <v>821</v>
      </c>
      <c r="CJ14" s="407">
        <v>7</v>
      </c>
      <c r="CK14" s="170" t="s">
        <v>822</v>
      </c>
      <c r="CL14" s="400">
        <v>6.25</v>
      </c>
      <c r="CM14" s="422" t="s">
        <v>823</v>
      </c>
      <c r="CN14" s="400">
        <v>4.7</v>
      </c>
      <c r="CO14" s="170" t="s">
        <v>824</v>
      </c>
      <c r="CP14" s="407">
        <v>6</v>
      </c>
      <c r="CQ14" s="170"/>
      <c r="CR14" s="421">
        <v>5.3</v>
      </c>
      <c r="CS14" s="401" t="s">
        <v>825</v>
      </c>
      <c r="CT14" s="416">
        <v>6.5</v>
      </c>
      <c r="CU14" s="170" t="s">
        <v>826</v>
      </c>
      <c r="CV14" s="416">
        <v>6</v>
      </c>
      <c r="CW14" s="170" t="s">
        <v>827</v>
      </c>
      <c r="CX14" s="170">
        <v>5</v>
      </c>
      <c r="CY14" s="170"/>
      <c r="CZ14" s="394">
        <v>4</v>
      </c>
      <c r="DA14" s="172" t="s">
        <v>828</v>
      </c>
      <c r="DB14" s="397" t="s">
        <v>546</v>
      </c>
      <c r="DC14" s="397">
        <f>COUNT(D14:CZ14)</f>
        <v>51</v>
      </c>
      <c r="DD14" s="397"/>
      <c r="DE14" s="397"/>
      <c r="DF14" s="397"/>
      <c r="DG14" s="397"/>
      <c r="DH14" s="397"/>
      <c r="DI14" s="397"/>
      <c r="DJ14" s="397"/>
      <c r="DK14" s="397"/>
      <c r="DL14" s="397"/>
      <c r="DM14" s="397"/>
      <c r="DN14" s="397"/>
      <c r="DO14" s="397"/>
      <c r="DP14" s="397"/>
      <c r="DQ14" s="397"/>
      <c r="DR14" s="397"/>
    </row>
    <row r="15" spans="1:122" ht="18.75" x14ac:dyDescent="0.3">
      <c r="A15" s="423">
        <v>2012</v>
      </c>
      <c r="B15" s="326"/>
      <c r="C15" s="327"/>
      <c r="D15" s="424"/>
      <c r="E15" s="328"/>
      <c r="F15" s="173"/>
      <c r="G15" s="370"/>
      <c r="H15" s="425"/>
      <c r="I15" s="168"/>
      <c r="J15" s="173"/>
      <c r="K15" s="371"/>
      <c r="L15" s="426" t="s">
        <v>546</v>
      </c>
      <c r="M15" s="427"/>
      <c r="N15" s="173"/>
      <c r="O15" s="171"/>
      <c r="P15" s="385"/>
      <c r="Q15" s="427"/>
      <c r="R15" s="374"/>
      <c r="S15" s="168"/>
      <c r="T15" s="428"/>
      <c r="U15" s="376"/>
      <c r="V15" s="429"/>
      <c r="W15" s="377"/>
      <c r="X15" s="167"/>
      <c r="Y15" s="168"/>
      <c r="Z15" s="167"/>
      <c r="AA15" s="168" t="s">
        <v>829</v>
      </c>
      <c r="AB15" s="167" t="s">
        <v>546</v>
      </c>
      <c r="AC15" s="168"/>
      <c r="AD15" s="430" t="s">
        <v>546</v>
      </c>
      <c r="AE15" s="168"/>
      <c r="AF15" s="173"/>
      <c r="AG15" s="171"/>
      <c r="AH15" s="167" t="s">
        <v>546</v>
      </c>
      <c r="AI15" s="168"/>
      <c r="AJ15" s="167"/>
      <c r="AK15" s="431"/>
      <c r="AL15" s="167"/>
      <c r="AM15" s="168"/>
      <c r="AN15" s="173"/>
      <c r="AO15" s="171"/>
      <c r="AP15" s="432"/>
      <c r="AQ15" s="168"/>
      <c r="AR15" s="173"/>
      <c r="AS15" s="171"/>
      <c r="AT15" s="173"/>
      <c r="AU15" s="171"/>
      <c r="AV15" s="381"/>
      <c r="AW15" s="168"/>
      <c r="AX15" s="433"/>
      <c r="AY15" s="427"/>
      <c r="AZ15" s="167"/>
      <c r="BA15" s="427"/>
      <c r="BB15" s="164"/>
      <c r="BC15" s="168"/>
      <c r="BD15" s="434"/>
      <c r="BE15" s="427"/>
      <c r="BF15" s="384"/>
      <c r="BG15" s="168"/>
      <c r="BH15" s="432" t="s">
        <v>546</v>
      </c>
      <c r="BI15" s="168"/>
      <c r="BJ15" s="167"/>
      <c r="BK15" s="168"/>
      <c r="BL15" s="167"/>
      <c r="BM15" s="168"/>
      <c r="BN15" s="173"/>
      <c r="BO15" s="171"/>
      <c r="BP15" s="435"/>
      <c r="BQ15" s="436"/>
      <c r="BR15" s="167"/>
      <c r="BS15" s="168"/>
      <c r="BT15" s="167" t="s">
        <v>546</v>
      </c>
      <c r="BU15" s="168"/>
      <c r="BV15" s="167"/>
      <c r="BW15" s="168"/>
      <c r="BX15" s="437"/>
      <c r="BY15" s="171"/>
      <c r="BZ15" s="432"/>
      <c r="CA15" s="168"/>
      <c r="CB15" s="167"/>
      <c r="CC15" s="168"/>
      <c r="CD15" s="173"/>
      <c r="CE15" s="171"/>
      <c r="CF15" s="167"/>
      <c r="CG15" s="168"/>
      <c r="CH15" s="167"/>
      <c r="CI15" s="168"/>
      <c r="CJ15" s="167"/>
      <c r="CK15" s="168"/>
      <c r="CL15" s="385"/>
      <c r="CM15" s="168"/>
      <c r="CN15" s="385"/>
      <c r="CO15" s="168"/>
      <c r="CP15" s="167"/>
      <c r="CQ15" s="168"/>
      <c r="CR15" s="373"/>
      <c r="CS15" s="427"/>
      <c r="CT15" s="432"/>
      <c r="CU15" s="168"/>
      <c r="CV15" s="432"/>
      <c r="CW15" s="168"/>
      <c r="CX15" s="168"/>
      <c r="CY15" s="168"/>
      <c r="CZ15" s="173"/>
      <c r="DA15" s="171"/>
      <c r="DB15" s="371"/>
      <c r="DC15" s="371"/>
      <c r="DD15" s="371"/>
      <c r="DE15" s="371"/>
      <c r="DF15" s="371"/>
      <c r="DG15" s="371"/>
      <c r="DH15" s="371"/>
      <c r="DI15" s="371"/>
      <c r="DJ15" s="371"/>
      <c r="DK15" s="371"/>
      <c r="DL15" s="371"/>
      <c r="DM15" s="371"/>
      <c r="DN15" s="371"/>
      <c r="DO15" s="371"/>
      <c r="DP15" s="371"/>
      <c r="DQ15" s="371"/>
      <c r="DR15" s="371"/>
    </row>
    <row r="16" spans="1:122" ht="18.75" x14ac:dyDescent="0.3">
      <c r="A16" s="423" t="s">
        <v>830</v>
      </c>
      <c r="B16" s="326"/>
      <c r="C16" s="327"/>
      <c r="D16" s="424"/>
      <c r="E16" s="328"/>
      <c r="F16" s="173"/>
      <c r="G16" s="370"/>
      <c r="H16" s="425"/>
      <c r="I16" s="168"/>
      <c r="J16" s="173"/>
      <c r="K16" s="371"/>
      <c r="L16" s="426"/>
      <c r="M16" s="427"/>
      <c r="N16" s="173"/>
      <c r="O16" s="171"/>
      <c r="P16" s="385"/>
      <c r="Q16" s="427"/>
      <c r="R16" s="374"/>
      <c r="S16" s="168"/>
      <c r="T16" s="428"/>
      <c r="U16" s="376"/>
      <c r="V16" s="429"/>
      <c r="W16" s="377"/>
      <c r="X16" s="167"/>
      <c r="Y16" s="168"/>
      <c r="Z16" s="167"/>
      <c r="AA16" s="168"/>
      <c r="AB16" s="167"/>
      <c r="AC16" s="168"/>
      <c r="AD16" s="430" t="s">
        <v>546</v>
      </c>
      <c r="AE16" s="168"/>
      <c r="AF16" s="173"/>
      <c r="AG16" s="171"/>
      <c r="AH16" s="167"/>
      <c r="AI16" s="168"/>
      <c r="AJ16" s="167"/>
      <c r="AK16" s="431"/>
      <c r="AL16" s="167"/>
      <c r="AM16" s="168"/>
      <c r="AN16" s="173"/>
      <c r="AO16" s="171"/>
      <c r="AP16" s="432"/>
      <c r="AQ16" s="168"/>
      <c r="AR16" s="173"/>
      <c r="AS16" s="171"/>
      <c r="AT16" s="173"/>
      <c r="AU16" s="171"/>
      <c r="AV16" s="381"/>
      <c r="AW16" s="168"/>
      <c r="AX16" s="433"/>
      <c r="AY16" s="427"/>
      <c r="AZ16" s="167"/>
      <c r="BA16" s="427"/>
      <c r="BB16" s="164"/>
      <c r="BC16" s="168"/>
      <c r="BD16" s="434"/>
      <c r="BE16" s="427"/>
      <c r="BF16" s="384"/>
      <c r="BG16" s="168"/>
      <c r="BH16" s="432"/>
      <c r="BI16" s="168"/>
      <c r="BJ16" s="167"/>
      <c r="BK16" s="168"/>
      <c r="BL16" s="167"/>
      <c r="BM16" s="168"/>
      <c r="BN16" s="173"/>
      <c r="BO16" s="171"/>
      <c r="BP16" s="435"/>
      <c r="BQ16" s="436"/>
      <c r="BR16" s="167"/>
      <c r="BS16" s="168"/>
      <c r="BT16" s="167"/>
      <c r="BU16" s="168"/>
      <c r="BV16" s="167"/>
      <c r="BW16" s="168"/>
      <c r="BX16" s="437"/>
      <c r="BY16" s="171"/>
      <c r="BZ16" s="432"/>
      <c r="CA16" s="168"/>
      <c r="CB16" s="167"/>
      <c r="CC16" s="168"/>
      <c r="CD16" s="173"/>
      <c r="CE16" s="171"/>
      <c r="CF16" s="167"/>
      <c r="CG16" s="168"/>
      <c r="CH16" s="167"/>
      <c r="CI16" s="168"/>
      <c r="CJ16" s="167"/>
      <c r="CK16" s="168"/>
      <c r="CL16" s="385"/>
      <c r="CM16" s="168"/>
      <c r="CN16" s="385"/>
      <c r="CO16" s="168"/>
      <c r="CP16" s="167"/>
      <c r="CQ16" s="168"/>
      <c r="CR16" s="373"/>
      <c r="CS16" s="427"/>
      <c r="CT16" s="432"/>
      <c r="CU16" s="168"/>
      <c r="CV16" s="432"/>
      <c r="CW16" s="168"/>
      <c r="CX16" s="168"/>
      <c r="CY16" s="168"/>
      <c r="CZ16" s="173"/>
      <c r="DA16" s="171"/>
      <c r="DB16" s="371"/>
      <c r="DC16" s="371"/>
      <c r="DD16" s="371"/>
      <c r="DE16" s="371"/>
      <c r="DF16" s="371"/>
      <c r="DG16" s="371"/>
      <c r="DH16" s="371"/>
      <c r="DI16" s="371"/>
      <c r="DJ16" s="371"/>
      <c r="DK16" s="371"/>
      <c r="DL16" s="371"/>
      <c r="DM16" s="371"/>
      <c r="DN16" s="371"/>
      <c r="DO16" s="371"/>
      <c r="DP16" s="371"/>
      <c r="DQ16" s="371"/>
      <c r="DR16" s="371"/>
    </row>
    <row r="17" spans="1:122" ht="18.75" x14ac:dyDescent="0.3">
      <c r="A17" s="389"/>
      <c r="B17" s="390"/>
      <c r="C17" s="391" t="s">
        <v>831</v>
      </c>
      <c r="D17" s="392" t="s">
        <v>832</v>
      </c>
      <c r="E17" s="393"/>
      <c r="F17" s="394" t="s">
        <v>832</v>
      </c>
      <c r="G17" s="394"/>
      <c r="H17" s="394" t="s">
        <v>832</v>
      </c>
      <c r="I17" s="170"/>
      <c r="J17" s="438" t="s">
        <v>832</v>
      </c>
      <c r="K17" s="397"/>
      <c r="L17" s="438" t="s">
        <v>832</v>
      </c>
      <c r="M17" s="401"/>
      <c r="N17" s="400" t="s">
        <v>832</v>
      </c>
      <c r="O17" s="172"/>
      <c r="P17" s="400" t="s">
        <v>832</v>
      </c>
      <c r="Q17" s="401"/>
      <c r="R17" s="400" t="s">
        <v>832</v>
      </c>
      <c r="S17" s="170"/>
      <c r="T17" s="400" t="s">
        <v>832</v>
      </c>
      <c r="U17" s="404"/>
      <c r="V17" s="400" t="s">
        <v>832</v>
      </c>
      <c r="W17" s="406"/>
      <c r="X17" s="400" t="s">
        <v>832</v>
      </c>
      <c r="Y17" s="170"/>
      <c r="Z17" s="400" t="s">
        <v>832</v>
      </c>
      <c r="AA17" s="170"/>
      <c r="AB17" s="400" t="s">
        <v>832</v>
      </c>
      <c r="AC17" s="170"/>
      <c r="AD17" s="408" t="s">
        <v>832</v>
      </c>
      <c r="AE17" s="170"/>
      <c r="AF17" s="408" t="s">
        <v>832</v>
      </c>
      <c r="AG17" s="172"/>
      <c r="AH17" s="408" t="s">
        <v>832</v>
      </c>
      <c r="AI17" s="170"/>
      <c r="AJ17" s="408" t="s">
        <v>832</v>
      </c>
      <c r="AK17" s="409"/>
      <c r="AL17" s="408" t="s">
        <v>832</v>
      </c>
      <c r="AM17" s="170"/>
      <c r="AN17" s="438" t="s">
        <v>832</v>
      </c>
      <c r="AO17" s="172"/>
      <c r="AP17" s="408" t="s">
        <v>832</v>
      </c>
      <c r="AQ17" s="170"/>
      <c r="AR17" s="438" t="s">
        <v>832</v>
      </c>
      <c r="AS17" s="172"/>
      <c r="AT17" s="438" t="s">
        <v>832</v>
      </c>
      <c r="AU17" s="172"/>
      <c r="AV17" s="408" t="s">
        <v>832</v>
      </c>
      <c r="AW17" s="170"/>
      <c r="AX17" s="408" t="s">
        <v>832</v>
      </c>
      <c r="AY17" s="401"/>
      <c r="AZ17" s="408" t="s">
        <v>832</v>
      </c>
      <c r="BA17" s="401"/>
      <c r="BB17" s="408" t="s">
        <v>832</v>
      </c>
      <c r="BC17" s="170"/>
      <c r="BD17" s="408" t="s">
        <v>832</v>
      </c>
      <c r="BE17" s="401"/>
      <c r="BF17" s="408" t="s">
        <v>832</v>
      </c>
      <c r="BG17" s="170"/>
      <c r="BH17" s="408" t="s">
        <v>832</v>
      </c>
      <c r="BI17" s="170"/>
      <c r="BJ17" s="408" t="s">
        <v>832</v>
      </c>
      <c r="BK17" s="407"/>
      <c r="BL17" s="408" t="s">
        <v>832</v>
      </c>
      <c r="BM17" s="170"/>
      <c r="BN17" s="438" t="s">
        <v>832</v>
      </c>
      <c r="BO17" s="172"/>
      <c r="BP17" s="408" t="s">
        <v>832</v>
      </c>
      <c r="BQ17" s="419"/>
      <c r="BR17" s="408" t="s">
        <v>832</v>
      </c>
      <c r="BS17" s="170"/>
      <c r="BT17" s="408" t="s">
        <v>832</v>
      </c>
      <c r="BU17" s="170"/>
      <c r="BV17" s="408" t="s">
        <v>832</v>
      </c>
      <c r="BW17" s="170"/>
      <c r="BX17" s="438" t="s">
        <v>832</v>
      </c>
      <c r="BY17" s="172"/>
      <c r="BZ17" s="408" t="s">
        <v>832</v>
      </c>
      <c r="CA17" s="170"/>
      <c r="CB17" s="408" t="s">
        <v>832</v>
      </c>
      <c r="CC17" s="170"/>
      <c r="CD17" s="408" t="s">
        <v>832</v>
      </c>
      <c r="CE17" s="172"/>
      <c r="CF17" s="408" t="s">
        <v>832</v>
      </c>
      <c r="CG17" s="170"/>
      <c r="CH17" s="408" t="s">
        <v>832</v>
      </c>
      <c r="CI17" s="170"/>
      <c r="CJ17" s="408" t="s">
        <v>832</v>
      </c>
      <c r="CK17" s="170"/>
      <c r="CL17" s="408" t="s">
        <v>832</v>
      </c>
      <c r="CM17" s="170"/>
      <c r="CN17" s="408" t="s">
        <v>832</v>
      </c>
      <c r="CO17" s="170"/>
      <c r="CP17" s="408" t="s">
        <v>832</v>
      </c>
      <c r="CQ17" s="170"/>
      <c r="CR17" s="408" t="s">
        <v>832</v>
      </c>
      <c r="CS17" s="401"/>
      <c r="CT17" s="408" t="s">
        <v>832</v>
      </c>
      <c r="CU17" s="439"/>
      <c r="CV17" s="408" t="s">
        <v>832</v>
      </c>
      <c r="CW17" s="170"/>
      <c r="CX17" s="408" t="s">
        <v>832</v>
      </c>
      <c r="CY17" s="170"/>
      <c r="CZ17" s="408" t="s">
        <v>832</v>
      </c>
      <c r="DA17" s="172"/>
      <c r="DB17" s="397"/>
      <c r="DC17" s="397"/>
      <c r="DD17" s="397"/>
      <c r="DE17" s="397"/>
      <c r="DF17" s="397"/>
      <c r="DG17" s="397"/>
      <c r="DH17" s="397"/>
      <c r="DI17" s="397"/>
      <c r="DJ17" s="397"/>
      <c r="DK17" s="397"/>
      <c r="DL17" s="397"/>
      <c r="DM17" s="397"/>
      <c r="DN17" s="397"/>
      <c r="DO17" s="397"/>
      <c r="DP17" s="397"/>
      <c r="DQ17" s="397"/>
      <c r="DR17" s="397"/>
    </row>
    <row r="18" spans="1:122" ht="18.75" x14ac:dyDescent="0.3">
      <c r="A18" s="325">
        <v>11511</v>
      </c>
      <c r="B18" s="326">
        <v>1</v>
      </c>
      <c r="C18" s="327" t="s">
        <v>833</v>
      </c>
      <c r="D18" s="424" t="s">
        <v>834</v>
      </c>
      <c r="E18" s="440"/>
      <c r="F18" s="173" t="s">
        <v>546</v>
      </c>
      <c r="G18" s="173"/>
      <c r="H18" s="425" t="s">
        <v>834</v>
      </c>
      <c r="I18" s="167"/>
      <c r="J18" s="173" t="s">
        <v>834</v>
      </c>
      <c r="K18" s="371" t="s">
        <v>835</v>
      </c>
      <c r="L18" s="426" t="s">
        <v>834</v>
      </c>
      <c r="M18" s="373"/>
      <c r="N18" s="173" t="s">
        <v>834</v>
      </c>
      <c r="O18" s="171"/>
      <c r="P18" s="385" t="s">
        <v>834</v>
      </c>
      <c r="Q18" s="427" t="s">
        <v>836</v>
      </c>
      <c r="R18" s="374">
        <v>0.39800000000000002</v>
      </c>
      <c r="S18" s="168" t="s">
        <v>837</v>
      </c>
      <c r="T18" s="428" t="s">
        <v>834</v>
      </c>
      <c r="U18" s="375"/>
      <c r="V18" s="441" t="s">
        <v>834</v>
      </c>
      <c r="W18" s="377" t="s">
        <v>838</v>
      </c>
      <c r="X18" s="167" t="s">
        <v>834</v>
      </c>
      <c r="Y18" s="167"/>
      <c r="Z18" s="167">
        <v>4</v>
      </c>
      <c r="AA18" s="167"/>
      <c r="AB18" s="167" t="s">
        <v>834</v>
      </c>
      <c r="AC18" s="167"/>
      <c r="AD18" s="430" t="s">
        <v>834</v>
      </c>
      <c r="AE18" s="167"/>
      <c r="AF18" s="173" t="s">
        <v>834</v>
      </c>
      <c r="AG18" s="171"/>
      <c r="AH18" s="167" t="s">
        <v>834</v>
      </c>
      <c r="AI18" s="167"/>
      <c r="AJ18" s="373" t="s">
        <v>834</v>
      </c>
      <c r="AK18" s="431"/>
      <c r="AL18" s="167" t="s">
        <v>834</v>
      </c>
      <c r="AM18" s="167"/>
      <c r="AN18" s="173" t="s">
        <v>834</v>
      </c>
      <c r="AO18" s="171"/>
      <c r="AP18" s="432" t="s">
        <v>834</v>
      </c>
      <c r="AQ18" s="167"/>
      <c r="AR18" s="173" t="s">
        <v>834</v>
      </c>
      <c r="AS18" s="171"/>
      <c r="AT18" s="173" t="s">
        <v>834</v>
      </c>
      <c r="AU18" s="171"/>
      <c r="AV18" s="381" t="s">
        <v>834</v>
      </c>
      <c r="AW18" s="168" t="s">
        <v>839</v>
      </c>
      <c r="AX18" s="433" t="s">
        <v>834</v>
      </c>
      <c r="AY18" s="373"/>
      <c r="AZ18" s="167">
        <v>7</v>
      </c>
      <c r="BA18" s="427"/>
      <c r="BB18" s="164" t="s">
        <v>834</v>
      </c>
      <c r="BC18" s="167"/>
      <c r="BD18" s="434" t="s">
        <v>546</v>
      </c>
      <c r="BE18" s="427"/>
      <c r="BF18" s="384" t="s">
        <v>834</v>
      </c>
      <c r="BG18" s="168"/>
      <c r="BH18" s="432" t="s">
        <v>834</v>
      </c>
      <c r="BI18" s="168"/>
      <c r="BJ18" s="167"/>
      <c r="BK18" s="167"/>
      <c r="BL18" s="167" t="s">
        <v>834</v>
      </c>
      <c r="BM18" s="167"/>
      <c r="BN18" s="173" t="s">
        <v>834</v>
      </c>
      <c r="BO18" s="171" t="s">
        <v>546</v>
      </c>
      <c r="BP18" s="435" t="s">
        <v>834</v>
      </c>
      <c r="BQ18" s="436"/>
      <c r="BR18" s="167" t="s">
        <v>834</v>
      </c>
      <c r="BS18" s="167"/>
      <c r="BT18" s="167" t="s">
        <v>834</v>
      </c>
      <c r="BU18" s="167"/>
      <c r="BV18" s="167" t="s">
        <v>834</v>
      </c>
      <c r="BW18" s="167"/>
      <c r="BX18" s="437" t="s">
        <v>834</v>
      </c>
      <c r="BY18" s="171"/>
      <c r="BZ18" s="432"/>
      <c r="CA18" s="168"/>
      <c r="CB18" s="167" t="s">
        <v>834</v>
      </c>
      <c r="CC18" s="167"/>
      <c r="CD18" s="173" t="s">
        <v>834</v>
      </c>
      <c r="CE18" s="171"/>
      <c r="CF18" s="167" t="s">
        <v>834</v>
      </c>
      <c r="CG18" s="167"/>
      <c r="CH18" s="167" t="s">
        <v>834</v>
      </c>
      <c r="CI18" s="168"/>
      <c r="CJ18" s="167" t="s">
        <v>834</v>
      </c>
      <c r="CK18" s="167"/>
      <c r="CL18" s="385" t="s">
        <v>834</v>
      </c>
      <c r="CM18" s="167"/>
      <c r="CN18" s="385" t="s">
        <v>834</v>
      </c>
      <c r="CO18" s="167"/>
      <c r="CP18" s="167" t="s">
        <v>834</v>
      </c>
      <c r="CQ18" s="167"/>
      <c r="CR18" s="373" t="s">
        <v>834</v>
      </c>
      <c r="CS18" s="373"/>
      <c r="CT18" s="432">
        <v>1.5</v>
      </c>
      <c r="CU18" s="168" t="s">
        <v>840</v>
      </c>
      <c r="CV18" s="442" t="s">
        <v>834</v>
      </c>
      <c r="CW18" s="168" t="s">
        <v>841</v>
      </c>
      <c r="CX18" s="168" t="s">
        <v>834</v>
      </c>
      <c r="CY18" s="168"/>
      <c r="CZ18" s="173" t="s">
        <v>834</v>
      </c>
      <c r="DA18" s="171" t="s">
        <v>842</v>
      </c>
      <c r="DB18" s="371" t="s">
        <v>546</v>
      </c>
      <c r="DC18" s="371">
        <f t="shared" ref="DC18:DC22" si="0">COUNT(D18:CZ18)</f>
        <v>4</v>
      </c>
      <c r="DD18" s="371"/>
      <c r="DE18" s="371"/>
      <c r="DF18" s="371"/>
      <c r="DG18" s="371"/>
      <c r="DH18" s="371"/>
      <c r="DI18" s="371"/>
      <c r="DJ18" s="371"/>
      <c r="DK18" s="371"/>
      <c r="DL18" s="371"/>
      <c r="DM18" s="371"/>
      <c r="DN18" s="371"/>
      <c r="DO18" s="371"/>
      <c r="DP18" s="371"/>
      <c r="DQ18" s="371"/>
      <c r="DR18" s="371"/>
    </row>
    <row r="19" spans="1:122" ht="18.75" x14ac:dyDescent="0.3">
      <c r="A19" s="325">
        <v>54194</v>
      </c>
      <c r="B19" s="326">
        <v>2</v>
      </c>
      <c r="C19" s="327" t="s">
        <v>843</v>
      </c>
      <c r="D19" s="424" t="s">
        <v>834</v>
      </c>
      <c r="E19" s="328"/>
      <c r="F19" s="173"/>
      <c r="G19" s="173"/>
      <c r="H19" s="425" t="s">
        <v>834</v>
      </c>
      <c r="I19" s="168"/>
      <c r="J19" s="173" t="s">
        <v>834</v>
      </c>
      <c r="K19" s="371"/>
      <c r="L19" s="426" t="s">
        <v>834</v>
      </c>
      <c r="M19" s="427"/>
      <c r="N19" s="173" t="s">
        <v>834</v>
      </c>
      <c r="O19" s="171"/>
      <c r="P19" s="385" t="s">
        <v>834</v>
      </c>
      <c r="Q19" s="427"/>
      <c r="R19" s="374">
        <v>0.39800000000000002</v>
      </c>
      <c r="S19" s="168" t="s">
        <v>837</v>
      </c>
      <c r="T19" s="428" t="s">
        <v>834</v>
      </c>
      <c r="U19" s="376"/>
      <c r="V19" s="441" t="s">
        <v>834</v>
      </c>
      <c r="W19" s="377" t="s">
        <v>838</v>
      </c>
      <c r="X19" s="373" t="s">
        <v>834</v>
      </c>
      <c r="Y19" s="168" t="s">
        <v>844</v>
      </c>
      <c r="Z19" s="167">
        <v>4</v>
      </c>
      <c r="AA19" s="168"/>
      <c r="AB19" s="167" t="s">
        <v>834</v>
      </c>
      <c r="AC19" s="168"/>
      <c r="AD19" s="430" t="s">
        <v>834</v>
      </c>
      <c r="AE19" s="168"/>
      <c r="AF19" s="173" t="s">
        <v>834</v>
      </c>
      <c r="AG19" s="171"/>
      <c r="AH19" s="167" t="s">
        <v>834</v>
      </c>
      <c r="AI19" s="168" t="s">
        <v>845</v>
      </c>
      <c r="AJ19" s="373" t="s">
        <v>834</v>
      </c>
      <c r="AK19" s="431"/>
      <c r="AL19" s="167" t="s">
        <v>834</v>
      </c>
      <c r="AM19" s="168"/>
      <c r="AN19" s="173" t="s">
        <v>834</v>
      </c>
      <c r="AO19" s="171"/>
      <c r="AP19" s="432" t="s">
        <v>834</v>
      </c>
      <c r="AQ19" s="168"/>
      <c r="AR19" s="173" t="s">
        <v>834</v>
      </c>
      <c r="AS19" s="171"/>
      <c r="AT19" s="173" t="s">
        <v>834</v>
      </c>
      <c r="AU19" s="171"/>
      <c r="AV19" s="381" t="s">
        <v>834</v>
      </c>
      <c r="AW19" s="168"/>
      <c r="AX19" s="443" t="s">
        <v>834</v>
      </c>
      <c r="AY19" s="427" t="s">
        <v>846</v>
      </c>
      <c r="AZ19" s="167" t="s">
        <v>834</v>
      </c>
      <c r="BA19" s="427"/>
      <c r="BB19" s="164" t="s">
        <v>834</v>
      </c>
      <c r="BC19" s="168"/>
      <c r="BD19" s="434" t="s">
        <v>847</v>
      </c>
      <c r="BE19" s="427"/>
      <c r="BF19" s="384" t="s">
        <v>834</v>
      </c>
      <c r="BG19" s="168" t="s">
        <v>848</v>
      </c>
      <c r="BH19" s="432" t="s">
        <v>834</v>
      </c>
      <c r="BI19" s="168"/>
      <c r="BJ19" s="167"/>
      <c r="BK19" s="167"/>
      <c r="BL19" s="167" t="s">
        <v>834</v>
      </c>
      <c r="BM19" s="168" t="s">
        <v>849</v>
      </c>
      <c r="BN19" s="173">
        <v>5.125</v>
      </c>
      <c r="BO19" s="171" t="s">
        <v>850</v>
      </c>
      <c r="BP19" s="435" t="s">
        <v>834</v>
      </c>
      <c r="BQ19" s="436"/>
      <c r="BR19" s="167" t="s">
        <v>834</v>
      </c>
      <c r="BS19" s="168"/>
      <c r="BT19" s="167" t="s">
        <v>834</v>
      </c>
      <c r="BU19" s="168"/>
      <c r="BV19" s="167" t="s">
        <v>834</v>
      </c>
      <c r="BW19" s="168"/>
      <c r="BX19" s="437" t="s">
        <v>834</v>
      </c>
      <c r="BY19" s="171"/>
      <c r="BZ19" s="432"/>
      <c r="CA19" s="168"/>
      <c r="CB19" s="167" t="s">
        <v>834</v>
      </c>
      <c r="CC19" s="168"/>
      <c r="CD19" s="173" t="s">
        <v>834</v>
      </c>
      <c r="CE19" s="171"/>
      <c r="CF19" s="167" t="s">
        <v>834</v>
      </c>
      <c r="CG19" s="168"/>
      <c r="CH19" s="167">
        <v>4.5</v>
      </c>
      <c r="CI19" s="168"/>
      <c r="CJ19" s="167" t="s">
        <v>834</v>
      </c>
      <c r="CK19" s="168"/>
      <c r="CL19" s="385" t="s">
        <v>834</v>
      </c>
      <c r="CM19" s="168" t="s">
        <v>851</v>
      </c>
      <c r="CN19" s="385" t="s">
        <v>834</v>
      </c>
      <c r="CO19" s="168"/>
      <c r="CP19" s="167" t="s">
        <v>834</v>
      </c>
      <c r="CQ19" s="168"/>
      <c r="CR19" s="373" t="s">
        <v>834</v>
      </c>
      <c r="CS19" s="427"/>
      <c r="CT19" s="432">
        <v>1.5</v>
      </c>
      <c r="CU19" s="168" t="s">
        <v>840</v>
      </c>
      <c r="CV19" s="442" t="s">
        <v>834</v>
      </c>
      <c r="CW19" s="168" t="s">
        <v>852</v>
      </c>
      <c r="CX19" s="168" t="s">
        <v>834</v>
      </c>
      <c r="CY19" s="168"/>
      <c r="CZ19" s="173" t="s">
        <v>834</v>
      </c>
      <c r="DA19" s="171" t="s">
        <v>853</v>
      </c>
      <c r="DB19" s="371" t="s">
        <v>546</v>
      </c>
      <c r="DC19" s="371">
        <f t="shared" si="0"/>
        <v>5</v>
      </c>
      <c r="DD19" s="371"/>
      <c r="DE19" s="371"/>
      <c r="DF19" s="371"/>
      <c r="DG19" s="371"/>
      <c r="DH19" s="371"/>
      <c r="DI19" s="371"/>
      <c r="DJ19" s="371"/>
      <c r="DK19" s="371"/>
      <c r="DL19" s="371"/>
      <c r="DM19" s="371"/>
      <c r="DN19" s="371"/>
      <c r="DO19" s="371"/>
      <c r="DP19" s="371"/>
      <c r="DQ19" s="371"/>
      <c r="DR19" s="371"/>
    </row>
    <row r="20" spans="1:122" ht="18.75" x14ac:dyDescent="0.3">
      <c r="A20" s="325">
        <v>11521</v>
      </c>
      <c r="B20" s="326">
        <v>3</v>
      </c>
      <c r="C20" s="327" t="s">
        <v>854</v>
      </c>
      <c r="D20" s="424" t="s">
        <v>834</v>
      </c>
      <c r="E20" s="328"/>
      <c r="F20" s="173"/>
      <c r="G20" s="173"/>
      <c r="H20" s="425" t="s">
        <v>834</v>
      </c>
      <c r="I20" s="168"/>
      <c r="J20" s="173" t="s">
        <v>834</v>
      </c>
      <c r="K20" s="371"/>
      <c r="L20" s="426" t="s">
        <v>834</v>
      </c>
      <c r="M20" s="427"/>
      <c r="N20" s="173" t="s">
        <v>834</v>
      </c>
      <c r="O20" s="171"/>
      <c r="P20" s="385" t="s">
        <v>834</v>
      </c>
      <c r="Q20" s="427" t="s">
        <v>855</v>
      </c>
      <c r="R20" s="374">
        <v>0.39800000000000002</v>
      </c>
      <c r="S20" s="168" t="s">
        <v>837</v>
      </c>
      <c r="T20" s="428" t="s">
        <v>834</v>
      </c>
      <c r="U20" s="376"/>
      <c r="V20" s="441" t="s">
        <v>834</v>
      </c>
      <c r="W20" s="377" t="s">
        <v>838</v>
      </c>
      <c r="X20" s="373" t="s">
        <v>834</v>
      </c>
      <c r="Y20" s="168" t="s">
        <v>856</v>
      </c>
      <c r="Z20" s="167">
        <v>4</v>
      </c>
      <c r="AA20" s="168"/>
      <c r="AB20" s="167" t="s">
        <v>834</v>
      </c>
      <c r="AC20" s="168"/>
      <c r="AD20" s="430" t="s">
        <v>834</v>
      </c>
      <c r="AE20" s="168"/>
      <c r="AF20" s="173" t="s">
        <v>834</v>
      </c>
      <c r="AG20" s="171"/>
      <c r="AH20" s="167" t="s">
        <v>834</v>
      </c>
      <c r="AI20" s="168"/>
      <c r="AJ20" s="373" t="s">
        <v>834</v>
      </c>
      <c r="AK20" s="431"/>
      <c r="AL20" s="167" t="s">
        <v>834</v>
      </c>
      <c r="AM20" s="168"/>
      <c r="AN20" s="173" t="s">
        <v>834</v>
      </c>
      <c r="AO20" s="171"/>
      <c r="AP20" s="432" t="s">
        <v>834</v>
      </c>
      <c r="AQ20" s="168"/>
      <c r="AR20" s="173" t="s">
        <v>834</v>
      </c>
      <c r="AS20" s="171"/>
      <c r="AT20" s="173" t="s">
        <v>834</v>
      </c>
      <c r="AU20" s="171"/>
      <c r="AV20" s="381" t="s">
        <v>834</v>
      </c>
      <c r="AW20" s="167"/>
      <c r="AX20" s="443" t="s">
        <v>834</v>
      </c>
      <c r="AY20" s="427"/>
      <c r="AZ20" s="167" t="s">
        <v>834</v>
      </c>
      <c r="BA20" s="427"/>
      <c r="BB20" s="164" t="s">
        <v>834</v>
      </c>
      <c r="BC20" s="167"/>
      <c r="BD20" s="434"/>
      <c r="BE20" s="427"/>
      <c r="BF20" s="384">
        <v>5.5</v>
      </c>
      <c r="BG20" s="168"/>
      <c r="BH20" s="432" t="s">
        <v>834</v>
      </c>
      <c r="BI20" s="167"/>
      <c r="BJ20" s="167"/>
      <c r="BK20" s="167"/>
      <c r="BL20" s="167">
        <v>6.875</v>
      </c>
      <c r="BM20" s="168" t="s">
        <v>857</v>
      </c>
      <c r="BN20" s="173" t="s">
        <v>834</v>
      </c>
      <c r="BO20" s="171"/>
      <c r="BP20" s="435">
        <v>4</v>
      </c>
      <c r="BQ20" s="436" t="s">
        <v>546</v>
      </c>
      <c r="BR20" s="167" t="s">
        <v>834</v>
      </c>
      <c r="BS20" s="167"/>
      <c r="BT20" s="167" t="s">
        <v>834</v>
      </c>
      <c r="BU20" s="167"/>
      <c r="BV20" s="167" t="s">
        <v>834</v>
      </c>
      <c r="BW20" s="167"/>
      <c r="BX20" s="437" t="s">
        <v>834</v>
      </c>
      <c r="BY20" s="171"/>
      <c r="BZ20" s="432"/>
      <c r="CA20" s="168"/>
      <c r="CB20" s="167" t="s">
        <v>834</v>
      </c>
      <c r="CC20" s="167"/>
      <c r="CD20" s="173" t="s">
        <v>834</v>
      </c>
      <c r="CE20" s="171"/>
      <c r="CF20" s="167" t="s">
        <v>834</v>
      </c>
      <c r="CG20" s="167"/>
      <c r="CH20" s="167">
        <v>4.5</v>
      </c>
      <c r="CI20" s="168"/>
      <c r="CJ20" s="167" t="s">
        <v>834</v>
      </c>
      <c r="CK20" s="174"/>
      <c r="CL20" s="385" t="s">
        <v>834</v>
      </c>
      <c r="CM20" s="168" t="s">
        <v>858</v>
      </c>
      <c r="CN20" s="385" t="s">
        <v>834</v>
      </c>
      <c r="CO20" s="167"/>
      <c r="CP20" s="167" t="s">
        <v>834</v>
      </c>
      <c r="CQ20" s="167"/>
      <c r="CR20" s="373" t="s">
        <v>834</v>
      </c>
      <c r="CS20" s="373"/>
      <c r="CT20" s="432">
        <v>1.5</v>
      </c>
      <c r="CU20" s="168" t="s">
        <v>840</v>
      </c>
      <c r="CV20" s="432">
        <v>6</v>
      </c>
      <c r="CW20" s="168"/>
      <c r="CX20" s="168">
        <v>5</v>
      </c>
      <c r="CY20" s="168" t="s">
        <v>859</v>
      </c>
      <c r="CZ20" s="173" t="s">
        <v>834</v>
      </c>
      <c r="DA20" s="171" t="s">
        <v>860</v>
      </c>
      <c r="DB20" s="371" t="s">
        <v>546</v>
      </c>
      <c r="DC20" s="371">
        <f t="shared" si="0"/>
        <v>9</v>
      </c>
      <c r="DD20" s="371"/>
      <c r="DE20" s="371"/>
      <c r="DF20" s="371"/>
      <c r="DG20" s="371"/>
      <c r="DH20" s="371"/>
      <c r="DI20" s="371"/>
      <c r="DJ20" s="371"/>
      <c r="DK20" s="371"/>
      <c r="DL20" s="371"/>
      <c r="DM20" s="371"/>
      <c r="DN20" s="371"/>
      <c r="DO20" s="371"/>
      <c r="DP20" s="371"/>
      <c r="DQ20" s="371"/>
      <c r="DR20" s="371"/>
    </row>
    <row r="21" spans="1:122" ht="18.75" x14ac:dyDescent="0.3">
      <c r="A21" s="325">
        <v>81291</v>
      </c>
      <c r="B21" s="326">
        <v>4</v>
      </c>
      <c r="C21" s="327" t="s">
        <v>861</v>
      </c>
      <c r="D21" s="424" t="s">
        <v>834</v>
      </c>
      <c r="E21" s="328"/>
      <c r="F21" s="173"/>
      <c r="G21" s="173"/>
      <c r="H21" s="373">
        <v>6.5</v>
      </c>
      <c r="I21" s="427" t="s">
        <v>862</v>
      </c>
      <c r="J21" s="173" t="s">
        <v>834</v>
      </c>
      <c r="K21" s="371"/>
      <c r="L21" s="426" t="s">
        <v>834</v>
      </c>
      <c r="M21" s="427"/>
      <c r="N21" s="173" t="s">
        <v>834</v>
      </c>
      <c r="O21" s="171"/>
      <c r="P21" s="385">
        <v>6.35</v>
      </c>
      <c r="Q21" s="427"/>
      <c r="R21" s="374">
        <v>0.39800000000000002</v>
      </c>
      <c r="S21" s="168" t="s">
        <v>837</v>
      </c>
      <c r="T21" s="428" t="s">
        <v>834</v>
      </c>
      <c r="U21" s="376"/>
      <c r="V21" s="441" t="s">
        <v>834</v>
      </c>
      <c r="W21" s="377" t="s">
        <v>838</v>
      </c>
      <c r="X21" s="373" t="s">
        <v>834</v>
      </c>
      <c r="Y21" s="168" t="s">
        <v>856</v>
      </c>
      <c r="Z21" s="167">
        <v>4</v>
      </c>
      <c r="AA21" s="168"/>
      <c r="AB21" s="167" t="s">
        <v>834</v>
      </c>
      <c r="AC21" s="168"/>
      <c r="AD21" s="430" t="s">
        <v>834</v>
      </c>
      <c r="AE21" s="168"/>
      <c r="AF21" s="173" t="s">
        <v>834</v>
      </c>
      <c r="AG21" s="171"/>
      <c r="AH21" s="167">
        <v>6</v>
      </c>
      <c r="AI21" s="168"/>
      <c r="AJ21" s="373">
        <v>6.5</v>
      </c>
      <c r="AK21" s="431" t="s">
        <v>863</v>
      </c>
      <c r="AL21" s="167" t="s">
        <v>834</v>
      </c>
      <c r="AM21" s="168"/>
      <c r="AN21" s="173" t="s">
        <v>834</v>
      </c>
      <c r="AO21" s="171"/>
      <c r="AP21" s="432" t="s">
        <v>834</v>
      </c>
      <c r="AQ21" s="168"/>
      <c r="AR21" s="173" t="s">
        <v>834</v>
      </c>
      <c r="AS21" s="171"/>
      <c r="AT21" s="173" t="s">
        <v>834</v>
      </c>
      <c r="AU21" s="171"/>
      <c r="AV21" s="381" t="s">
        <v>834</v>
      </c>
      <c r="AW21" s="167"/>
      <c r="AX21" s="443">
        <v>6.875</v>
      </c>
      <c r="AY21" s="427" t="s">
        <v>864</v>
      </c>
      <c r="AZ21" s="167" t="s">
        <v>834</v>
      </c>
      <c r="BA21" s="427"/>
      <c r="BB21" s="164" t="s">
        <v>834</v>
      </c>
      <c r="BC21" s="167"/>
      <c r="BD21" s="434"/>
      <c r="BE21" s="427"/>
      <c r="BF21" s="384">
        <v>5.5</v>
      </c>
      <c r="BG21" s="168"/>
      <c r="BH21" s="432" t="s">
        <v>834</v>
      </c>
      <c r="BI21" s="167"/>
      <c r="BJ21" s="167"/>
      <c r="BK21" s="167"/>
      <c r="BL21" s="167">
        <v>6.875</v>
      </c>
      <c r="BM21" s="168" t="s">
        <v>865</v>
      </c>
      <c r="BN21" s="173">
        <v>5.125</v>
      </c>
      <c r="BO21" s="171"/>
      <c r="BP21" s="435">
        <v>4</v>
      </c>
      <c r="BQ21" s="436"/>
      <c r="BR21" s="167" t="s">
        <v>834</v>
      </c>
      <c r="BS21" s="167"/>
      <c r="BT21" s="167" t="s">
        <v>834</v>
      </c>
      <c r="BU21" s="167"/>
      <c r="BV21" s="167" t="s">
        <v>834</v>
      </c>
      <c r="BW21" s="167"/>
      <c r="BX21" s="437" t="s">
        <v>834</v>
      </c>
      <c r="BY21" s="171"/>
      <c r="BZ21" s="432"/>
      <c r="CA21" s="168"/>
      <c r="CB21" s="167">
        <v>6</v>
      </c>
      <c r="CC21" s="168"/>
      <c r="CD21" s="173">
        <v>7</v>
      </c>
      <c r="CE21" s="171" t="s">
        <v>866</v>
      </c>
      <c r="CF21" s="167" t="s">
        <v>834</v>
      </c>
      <c r="CG21" s="167"/>
      <c r="CH21" s="167">
        <v>4.5</v>
      </c>
      <c r="CI21" s="168"/>
      <c r="CJ21" s="373">
        <v>7</v>
      </c>
      <c r="CK21" s="444" t="s">
        <v>867</v>
      </c>
      <c r="CL21" s="385">
        <v>6.25</v>
      </c>
      <c r="CM21" s="168"/>
      <c r="CN21" s="385">
        <v>4.7</v>
      </c>
      <c r="CO21" s="168" t="s">
        <v>868</v>
      </c>
      <c r="CP21" s="167" t="s">
        <v>834</v>
      </c>
      <c r="CQ21" s="167"/>
      <c r="CR21" s="373" t="s">
        <v>834</v>
      </c>
      <c r="CS21" s="373"/>
      <c r="CT21" s="432">
        <v>1.5</v>
      </c>
      <c r="CU21" s="168" t="s">
        <v>840</v>
      </c>
      <c r="CV21" s="432">
        <v>6</v>
      </c>
      <c r="CW21" s="168"/>
      <c r="CX21" s="168">
        <v>5</v>
      </c>
      <c r="CY21" s="168" t="s">
        <v>869</v>
      </c>
      <c r="CZ21" s="173" t="s">
        <v>834</v>
      </c>
      <c r="DA21" s="171"/>
      <c r="DB21" s="371" t="s">
        <v>546</v>
      </c>
      <c r="DC21" s="371">
        <f t="shared" si="0"/>
        <v>20</v>
      </c>
      <c r="DD21" s="371"/>
      <c r="DE21" s="371"/>
      <c r="DF21" s="371"/>
      <c r="DG21" s="371"/>
      <c r="DH21" s="371"/>
      <c r="DI21" s="371"/>
      <c r="DJ21" s="371"/>
      <c r="DK21" s="371"/>
      <c r="DL21" s="371"/>
      <c r="DM21" s="371"/>
      <c r="DN21" s="371"/>
      <c r="DO21" s="371"/>
      <c r="DP21" s="371"/>
      <c r="DQ21" s="371"/>
      <c r="DR21" s="371"/>
    </row>
    <row r="22" spans="1:122" ht="18.75" x14ac:dyDescent="0.3">
      <c r="A22" s="325">
        <v>56173</v>
      </c>
      <c r="B22" s="326">
        <v>5</v>
      </c>
      <c r="C22" s="327" t="s">
        <v>870</v>
      </c>
      <c r="D22" s="424" t="s">
        <v>834</v>
      </c>
      <c r="E22" s="328"/>
      <c r="F22" s="173"/>
      <c r="G22" s="173"/>
      <c r="H22" s="425">
        <v>6.5</v>
      </c>
      <c r="I22" s="168" t="s">
        <v>871</v>
      </c>
      <c r="J22" s="173">
        <v>5.6</v>
      </c>
      <c r="K22" s="371" t="s">
        <v>872</v>
      </c>
      <c r="L22" s="426" t="s">
        <v>834</v>
      </c>
      <c r="M22" s="427"/>
      <c r="N22" s="173" t="s">
        <v>834</v>
      </c>
      <c r="O22" s="171"/>
      <c r="P22" s="385">
        <v>6.35</v>
      </c>
      <c r="Q22" s="427"/>
      <c r="R22" s="374">
        <v>0.39800000000000002</v>
      </c>
      <c r="S22" s="168" t="s">
        <v>837</v>
      </c>
      <c r="T22" s="428">
        <v>5.75</v>
      </c>
      <c r="U22" s="376" t="s">
        <v>873</v>
      </c>
      <c r="V22" s="441" t="s">
        <v>834</v>
      </c>
      <c r="W22" s="377" t="s">
        <v>838</v>
      </c>
      <c r="X22" s="373" t="s">
        <v>834</v>
      </c>
      <c r="Y22" s="168" t="s">
        <v>874</v>
      </c>
      <c r="Z22" s="167">
        <v>4</v>
      </c>
      <c r="AA22" s="168"/>
      <c r="AB22" s="167" t="s">
        <v>834</v>
      </c>
      <c r="AC22" s="168"/>
      <c r="AD22" s="430" t="s">
        <v>834</v>
      </c>
      <c r="AE22" s="168"/>
      <c r="AF22" s="173">
        <v>7</v>
      </c>
      <c r="AG22" s="171" t="s">
        <v>875</v>
      </c>
      <c r="AH22" s="167">
        <v>6</v>
      </c>
      <c r="AI22" s="168" t="s">
        <v>876</v>
      </c>
      <c r="AJ22" s="373">
        <v>6.5</v>
      </c>
      <c r="AK22" s="431" t="s">
        <v>877</v>
      </c>
      <c r="AL22" s="167" t="s">
        <v>834</v>
      </c>
      <c r="AM22" s="168"/>
      <c r="AN22" s="173" t="s">
        <v>834</v>
      </c>
      <c r="AO22" s="171"/>
      <c r="AP22" s="432" t="s">
        <v>834</v>
      </c>
      <c r="AQ22" s="168"/>
      <c r="AR22" s="173" t="s">
        <v>834</v>
      </c>
      <c r="AS22" s="171"/>
      <c r="AT22" s="173" t="s">
        <v>834</v>
      </c>
      <c r="AU22" s="171"/>
      <c r="AV22" s="381" t="s">
        <v>834</v>
      </c>
      <c r="AW22" s="167"/>
      <c r="AX22" s="443">
        <v>6.875</v>
      </c>
      <c r="AY22" s="427" t="s">
        <v>878</v>
      </c>
      <c r="AZ22" s="373">
        <v>7</v>
      </c>
      <c r="BA22" s="427" t="s">
        <v>879</v>
      </c>
      <c r="BB22" s="164" t="s">
        <v>834</v>
      </c>
      <c r="BC22" s="167"/>
      <c r="BD22" s="434"/>
      <c r="BE22" s="427"/>
      <c r="BF22" s="382" t="s">
        <v>834</v>
      </c>
      <c r="BG22" s="168" t="s">
        <v>880</v>
      </c>
      <c r="BH22" s="432" t="s">
        <v>834</v>
      </c>
      <c r="BI22" s="167"/>
      <c r="BJ22" s="167"/>
      <c r="BK22" s="167"/>
      <c r="BL22" s="373">
        <v>6.875</v>
      </c>
      <c r="BM22" s="168" t="s">
        <v>881</v>
      </c>
      <c r="BN22" s="173">
        <v>5.125</v>
      </c>
      <c r="BO22" s="171"/>
      <c r="BP22" s="435">
        <v>4</v>
      </c>
      <c r="BQ22" s="436"/>
      <c r="BR22" s="167" t="s">
        <v>834</v>
      </c>
      <c r="BS22" s="168" t="s">
        <v>882</v>
      </c>
      <c r="BT22" s="167" t="s">
        <v>834</v>
      </c>
      <c r="BU22" s="168" t="s">
        <v>883</v>
      </c>
      <c r="BV22" s="429">
        <v>5.75</v>
      </c>
      <c r="BW22" s="168" t="s">
        <v>884</v>
      </c>
      <c r="BX22" s="437" t="s">
        <v>834</v>
      </c>
      <c r="BY22" s="171"/>
      <c r="BZ22" s="432"/>
      <c r="CA22" s="168"/>
      <c r="CB22" s="373">
        <v>6</v>
      </c>
      <c r="CC22" s="168" t="s">
        <v>885</v>
      </c>
      <c r="CD22" s="173" t="s">
        <v>834</v>
      </c>
      <c r="CE22" s="171"/>
      <c r="CF22" s="167" t="s">
        <v>834</v>
      </c>
      <c r="CG22" s="167"/>
      <c r="CH22" s="167">
        <v>4.5</v>
      </c>
      <c r="CI22" s="168" t="s">
        <v>886</v>
      </c>
      <c r="CJ22" s="167" t="s">
        <v>834</v>
      </c>
      <c r="CK22" s="168"/>
      <c r="CL22" s="445">
        <v>6.25</v>
      </c>
      <c r="CM22" s="168"/>
      <c r="CN22" s="385" t="s">
        <v>834</v>
      </c>
      <c r="CO22" s="167"/>
      <c r="CP22" s="167" t="s">
        <v>834</v>
      </c>
      <c r="CQ22" s="167"/>
      <c r="CR22" s="373" t="s">
        <v>834</v>
      </c>
      <c r="CS22" s="427" t="s">
        <v>887</v>
      </c>
      <c r="CT22" s="432">
        <v>6.5</v>
      </c>
      <c r="CU22" s="168" t="s">
        <v>888</v>
      </c>
      <c r="CV22" s="432">
        <v>6</v>
      </c>
      <c r="CW22" s="168" t="s">
        <v>889</v>
      </c>
      <c r="CX22" s="168">
        <v>5</v>
      </c>
      <c r="CY22" s="168" t="s">
        <v>890</v>
      </c>
      <c r="CZ22" s="173" t="s">
        <v>834</v>
      </c>
      <c r="DA22" s="171" t="s">
        <v>891</v>
      </c>
      <c r="DB22" s="371" t="s">
        <v>546</v>
      </c>
      <c r="DC22" s="371">
        <f t="shared" si="0"/>
        <v>21</v>
      </c>
      <c r="DD22" s="371"/>
      <c r="DE22" s="371"/>
      <c r="DF22" s="371"/>
      <c r="DG22" s="371"/>
      <c r="DH22" s="371"/>
      <c r="DI22" s="371"/>
      <c r="DJ22" s="371"/>
      <c r="DK22" s="371"/>
      <c r="DL22" s="371"/>
      <c r="DM22" s="371"/>
      <c r="DN22" s="371"/>
      <c r="DO22" s="371"/>
      <c r="DP22" s="371"/>
      <c r="DQ22" s="371"/>
      <c r="DR22" s="371"/>
    </row>
    <row r="23" spans="1:122" ht="18.75" x14ac:dyDescent="0.3">
      <c r="A23" s="325"/>
      <c r="B23" s="268"/>
      <c r="C23" s="268"/>
      <c r="D23" s="424"/>
      <c r="E23" s="446"/>
      <c r="F23" s="173"/>
      <c r="G23" s="171"/>
      <c r="H23" s="425"/>
      <c r="I23" s="444"/>
      <c r="J23" s="173"/>
      <c r="K23" s="371"/>
      <c r="L23" s="426"/>
      <c r="M23" s="175"/>
      <c r="N23" s="173"/>
      <c r="O23" s="171"/>
      <c r="P23" s="385"/>
      <c r="Q23" s="175"/>
      <c r="R23" s="374"/>
      <c r="S23" s="444"/>
      <c r="T23" s="428"/>
      <c r="U23" s="376"/>
      <c r="V23" s="429"/>
      <c r="W23" s="377" t="s">
        <v>892</v>
      </c>
      <c r="X23" s="167" t="s">
        <v>546</v>
      </c>
      <c r="Y23" s="444"/>
      <c r="Z23" s="167"/>
      <c r="AA23" s="444"/>
      <c r="AB23" s="167"/>
      <c r="AC23" s="444"/>
      <c r="AD23" s="430" t="s">
        <v>546</v>
      </c>
      <c r="AE23" s="447"/>
      <c r="AF23" s="173"/>
      <c r="AG23" s="171"/>
      <c r="AH23" s="167"/>
      <c r="AI23" s="444"/>
      <c r="AJ23" s="373"/>
      <c r="AK23" s="431"/>
      <c r="AL23" s="167"/>
      <c r="AM23" s="444"/>
      <c r="AN23" s="173"/>
      <c r="AO23" s="171"/>
      <c r="AP23" s="432"/>
      <c r="AQ23" s="444"/>
      <c r="AR23" s="173"/>
      <c r="AS23" s="171"/>
      <c r="AT23" s="173"/>
      <c r="AU23" s="171"/>
      <c r="AV23" s="381"/>
      <c r="AW23" s="444"/>
      <c r="AX23" s="443"/>
      <c r="AY23" s="175"/>
      <c r="AZ23" s="167"/>
      <c r="BA23" s="427"/>
      <c r="BB23" s="164"/>
      <c r="BC23" s="444"/>
      <c r="BD23" s="434"/>
      <c r="BE23" s="427"/>
      <c r="BF23" s="384"/>
      <c r="BG23" s="168"/>
      <c r="BH23" s="432"/>
      <c r="BI23" s="444"/>
      <c r="BJ23" s="167"/>
      <c r="BK23" s="444"/>
      <c r="BL23" s="167"/>
      <c r="BM23" s="444"/>
      <c r="BN23" s="173"/>
      <c r="BO23" s="171"/>
      <c r="BP23" s="435"/>
      <c r="BQ23" s="436"/>
      <c r="BR23" s="167"/>
      <c r="BS23" s="444"/>
      <c r="BT23" s="167"/>
      <c r="BU23" s="444"/>
      <c r="BV23" s="167"/>
      <c r="BW23" s="444"/>
      <c r="BX23" s="437"/>
      <c r="BY23" s="171"/>
      <c r="BZ23" s="432"/>
      <c r="CA23" s="168"/>
      <c r="CB23" s="167"/>
      <c r="CC23" s="444"/>
      <c r="CD23" s="173"/>
      <c r="CE23" s="171"/>
      <c r="CF23" s="167"/>
      <c r="CG23" s="444"/>
      <c r="CH23" s="167"/>
      <c r="CI23" s="168"/>
      <c r="CJ23" s="167"/>
      <c r="CK23" s="444"/>
      <c r="CL23" s="385"/>
      <c r="CM23" s="444"/>
      <c r="CN23" s="385"/>
      <c r="CO23" s="167"/>
      <c r="CP23" s="167"/>
      <c r="CQ23" s="444"/>
      <c r="CR23" s="373"/>
      <c r="CS23" s="175"/>
      <c r="CT23" s="432"/>
      <c r="CU23" s="168"/>
      <c r="CV23" s="432"/>
      <c r="CW23" s="168"/>
      <c r="CX23" s="168"/>
      <c r="CY23" s="168"/>
      <c r="CZ23" s="173"/>
      <c r="DA23" s="171"/>
      <c r="DB23" s="371" t="s">
        <v>546</v>
      </c>
      <c r="DC23" s="371"/>
      <c r="DD23" s="371"/>
      <c r="DE23" s="371"/>
      <c r="DF23" s="371"/>
      <c r="DG23" s="371"/>
      <c r="DH23" s="371"/>
      <c r="DI23" s="371"/>
      <c r="DJ23" s="371"/>
      <c r="DK23" s="371"/>
      <c r="DL23" s="371"/>
      <c r="DM23" s="371"/>
      <c r="DN23" s="371"/>
      <c r="DO23" s="371"/>
      <c r="DP23" s="371"/>
      <c r="DQ23" s="371"/>
      <c r="DR23" s="371"/>
    </row>
    <row r="24" spans="1:122" ht="18.75" x14ac:dyDescent="0.3">
      <c r="A24" s="389"/>
      <c r="B24" s="448"/>
      <c r="C24" s="449" t="s">
        <v>893</v>
      </c>
      <c r="D24" s="392" t="s">
        <v>832</v>
      </c>
      <c r="E24" s="450"/>
      <c r="F24" s="394" t="s">
        <v>832</v>
      </c>
      <c r="G24" s="172"/>
      <c r="H24" s="394" t="s">
        <v>832</v>
      </c>
      <c r="I24" s="451"/>
      <c r="J24" s="438" t="s">
        <v>832</v>
      </c>
      <c r="K24" s="397"/>
      <c r="L24" s="438" t="s">
        <v>832</v>
      </c>
      <c r="M24" s="399"/>
      <c r="N24" s="400" t="s">
        <v>832</v>
      </c>
      <c r="O24" s="172"/>
      <c r="P24" s="400" t="s">
        <v>832</v>
      </c>
      <c r="Q24" s="399"/>
      <c r="R24" s="400" t="s">
        <v>832</v>
      </c>
      <c r="S24" s="451"/>
      <c r="T24" s="400" t="s">
        <v>832</v>
      </c>
      <c r="U24" s="404"/>
      <c r="V24" s="400" t="s">
        <v>832</v>
      </c>
      <c r="W24" s="406"/>
      <c r="X24" s="400" t="s">
        <v>832</v>
      </c>
      <c r="Y24" s="451"/>
      <c r="Z24" s="400" t="s">
        <v>832</v>
      </c>
      <c r="AA24" s="451"/>
      <c r="AB24" s="400" t="s">
        <v>832</v>
      </c>
      <c r="AC24" s="451"/>
      <c r="AD24" s="408" t="s">
        <v>832</v>
      </c>
      <c r="AE24" s="452"/>
      <c r="AF24" s="408" t="s">
        <v>832</v>
      </c>
      <c r="AG24" s="172"/>
      <c r="AH24" s="408" t="s">
        <v>832</v>
      </c>
      <c r="AI24" s="451"/>
      <c r="AJ24" s="408" t="s">
        <v>832</v>
      </c>
      <c r="AK24" s="409"/>
      <c r="AL24" s="408" t="s">
        <v>832</v>
      </c>
      <c r="AM24" s="451"/>
      <c r="AN24" s="438" t="s">
        <v>832</v>
      </c>
      <c r="AO24" s="172"/>
      <c r="AP24" s="408" t="s">
        <v>832</v>
      </c>
      <c r="AQ24" s="451"/>
      <c r="AR24" s="438" t="s">
        <v>832</v>
      </c>
      <c r="AS24" s="172"/>
      <c r="AT24" s="438" t="s">
        <v>832</v>
      </c>
      <c r="AU24" s="172"/>
      <c r="AV24" s="408" t="s">
        <v>832</v>
      </c>
      <c r="AW24" s="451"/>
      <c r="AX24" s="408" t="s">
        <v>832</v>
      </c>
      <c r="AY24" s="399"/>
      <c r="AZ24" s="408" t="s">
        <v>832</v>
      </c>
      <c r="BA24" s="401"/>
      <c r="BB24" s="408" t="s">
        <v>832</v>
      </c>
      <c r="BC24" s="451"/>
      <c r="BD24" s="408" t="s">
        <v>832</v>
      </c>
      <c r="BE24" s="401"/>
      <c r="BF24" s="408" t="s">
        <v>832</v>
      </c>
      <c r="BG24" s="170"/>
      <c r="BH24" s="408" t="s">
        <v>832</v>
      </c>
      <c r="BI24" s="451"/>
      <c r="BJ24" s="408" t="s">
        <v>832</v>
      </c>
      <c r="BK24" s="451"/>
      <c r="BL24" s="408" t="s">
        <v>832</v>
      </c>
      <c r="BM24" s="451"/>
      <c r="BN24" s="438" t="s">
        <v>832</v>
      </c>
      <c r="BO24" s="172"/>
      <c r="BP24" s="408" t="s">
        <v>832</v>
      </c>
      <c r="BQ24" s="418"/>
      <c r="BR24" s="408" t="s">
        <v>832</v>
      </c>
      <c r="BS24" s="451"/>
      <c r="BT24" s="408" t="s">
        <v>832</v>
      </c>
      <c r="BU24" s="451"/>
      <c r="BV24" s="408" t="s">
        <v>832</v>
      </c>
      <c r="BW24" s="451"/>
      <c r="BX24" s="438" t="s">
        <v>832</v>
      </c>
      <c r="BY24" s="172"/>
      <c r="BZ24" s="408" t="s">
        <v>832</v>
      </c>
      <c r="CA24" s="170"/>
      <c r="CB24" s="408" t="s">
        <v>832</v>
      </c>
      <c r="CC24" s="451"/>
      <c r="CD24" s="408" t="s">
        <v>832</v>
      </c>
      <c r="CE24" s="172"/>
      <c r="CF24" s="408" t="s">
        <v>832</v>
      </c>
      <c r="CG24" s="451"/>
      <c r="CH24" s="408" t="s">
        <v>832</v>
      </c>
      <c r="CI24" s="170"/>
      <c r="CJ24" s="408" t="s">
        <v>832</v>
      </c>
      <c r="CK24" s="451"/>
      <c r="CL24" s="408" t="s">
        <v>832</v>
      </c>
      <c r="CM24" s="451"/>
      <c r="CN24" s="408" t="s">
        <v>832</v>
      </c>
      <c r="CO24" s="451"/>
      <c r="CP24" s="408" t="s">
        <v>832</v>
      </c>
      <c r="CQ24" s="451"/>
      <c r="CR24" s="408" t="s">
        <v>832</v>
      </c>
      <c r="CS24" s="399"/>
      <c r="CT24" s="408" t="s">
        <v>832</v>
      </c>
      <c r="CU24" s="170"/>
      <c r="CV24" s="408" t="s">
        <v>832</v>
      </c>
      <c r="CW24" s="170"/>
      <c r="CX24" s="408" t="s">
        <v>832</v>
      </c>
      <c r="CY24" s="170"/>
      <c r="CZ24" s="408" t="s">
        <v>832</v>
      </c>
      <c r="DA24" s="172"/>
      <c r="DB24" s="397" t="s">
        <v>546</v>
      </c>
      <c r="DC24" s="397"/>
      <c r="DD24" s="397"/>
      <c r="DE24" s="397"/>
      <c r="DF24" s="397"/>
      <c r="DG24" s="397"/>
      <c r="DH24" s="397"/>
      <c r="DI24" s="397"/>
      <c r="DJ24" s="397"/>
      <c r="DK24" s="397"/>
      <c r="DL24" s="397"/>
      <c r="DM24" s="397"/>
      <c r="DN24" s="397"/>
      <c r="DO24" s="397"/>
      <c r="DP24" s="397"/>
      <c r="DQ24" s="397"/>
      <c r="DR24" s="397"/>
    </row>
    <row r="25" spans="1:122" ht="18.75" x14ac:dyDescent="0.3">
      <c r="A25" s="325">
        <v>21311</v>
      </c>
      <c r="B25" s="326">
        <v>6</v>
      </c>
      <c r="C25" s="327" t="s">
        <v>894</v>
      </c>
      <c r="D25" s="424" t="s">
        <v>834</v>
      </c>
      <c r="E25" s="440"/>
      <c r="F25" s="173"/>
      <c r="G25" s="173"/>
      <c r="H25" s="425" t="s">
        <v>834</v>
      </c>
      <c r="I25" s="167"/>
      <c r="J25" s="173" t="s">
        <v>834</v>
      </c>
      <c r="K25" s="371" t="s">
        <v>895</v>
      </c>
      <c r="L25" s="426" t="s">
        <v>834</v>
      </c>
      <c r="M25" s="373"/>
      <c r="N25" s="173" t="s">
        <v>834</v>
      </c>
      <c r="O25" s="171"/>
      <c r="P25" s="385">
        <v>6.35</v>
      </c>
      <c r="Q25" s="175" t="s">
        <v>896</v>
      </c>
      <c r="R25" s="374">
        <v>0.39800000000000002</v>
      </c>
      <c r="S25" s="168" t="s">
        <v>837</v>
      </c>
      <c r="T25" s="428" t="s">
        <v>834</v>
      </c>
      <c r="U25" s="375"/>
      <c r="V25" s="441" t="s">
        <v>834</v>
      </c>
      <c r="W25" s="377" t="s">
        <v>897</v>
      </c>
      <c r="X25" s="167" t="s">
        <v>834</v>
      </c>
      <c r="Y25" s="168" t="s">
        <v>856</v>
      </c>
      <c r="Z25" s="167">
        <v>4</v>
      </c>
      <c r="AA25" s="167"/>
      <c r="AB25" s="167" t="s">
        <v>834</v>
      </c>
      <c r="AC25" s="167"/>
      <c r="AD25" s="430" t="s">
        <v>834</v>
      </c>
      <c r="AE25" s="167"/>
      <c r="AF25" s="173" t="s">
        <v>834</v>
      </c>
      <c r="AG25" s="171"/>
      <c r="AH25" s="167" t="s">
        <v>834</v>
      </c>
      <c r="AI25" s="453" t="s">
        <v>898</v>
      </c>
      <c r="AJ25" s="373" t="s">
        <v>834</v>
      </c>
      <c r="AK25" s="431"/>
      <c r="AL25" s="167" t="s">
        <v>834</v>
      </c>
      <c r="AM25" s="167"/>
      <c r="AN25" s="173" t="s">
        <v>834</v>
      </c>
      <c r="AO25" s="171"/>
      <c r="AP25" s="432" t="s">
        <v>834</v>
      </c>
      <c r="AQ25" s="167"/>
      <c r="AR25" s="173" t="s">
        <v>834</v>
      </c>
      <c r="AS25" s="171"/>
      <c r="AT25" s="173" t="s">
        <v>834</v>
      </c>
      <c r="AU25" s="171"/>
      <c r="AV25" s="381" t="s">
        <v>834</v>
      </c>
      <c r="AW25" s="167"/>
      <c r="AX25" s="443" t="s">
        <v>834</v>
      </c>
      <c r="AY25" s="373"/>
      <c r="AZ25" s="167" t="s">
        <v>834</v>
      </c>
      <c r="BA25" s="427"/>
      <c r="BB25" s="164" t="s">
        <v>834</v>
      </c>
      <c r="BC25" s="167"/>
      <c r="BD25" s="434"/>
      <c r="BE25" s="427"/>
      <c r="BF25" s="384" t="s">
        <v>834</v>
      </c>
      <c r="BG25" s="168"/>
      <c r="BH25" s="432" t="s">
        <v>834</v>
      </c>
      <c r="BI25" s="167"/>
      <c r="BJ25" s="167"/>
      <c r="BK25" s="167"/>
      <c r="BL25" s="167" t="s">
        <v>834</v>
      </c>
      <c r="BM25" s="167"/>
      <c r="BN25" s="173">
        <v>5.125</v>
      </c>
      <c r="BO25" s="171" t="s">
        <v>899</v>
      </c>
      <c r="BP25" s="435" t="s">
        <v>834</v>
      </c>
      <c r="BQ25" s="436"/>
      <c r="BR25" s="167" t="s">
        <v>834</v>
      </c>
      <c r="BS25" s="167" t="s">
        <v>900</v>
      </c>
      <c r="BT25" s="167" t="s">
        <v>834</v>
      </c>
      <c r="BU25" s="168" t="s">
        <v>883</v>
      </c>
      <c r="BV25" s="167" t="s">
        <v>834</v>
      </c>
      <c r="BW25" s="168" t="s">
        <v>901</v>
      </c>
      <c r="BX25" s="437" t="s">
        <v>834</v>
      </c>
      <c r="BY25" s="171"/>
      <c r="BZ25" s="432"/>
      <c r="CA25" s="168"/>
      <c r="CB25" s="167" t="s">
        <v>834</v>
      </c>
      <c r="CC25" s="167"/>
      <c r="CD25" s="173" t="s">
        <v>834</v>
      </c>
      <c r="CE25" s="171"/>
      <c r="CF25" s="167" t="s">
        <v>834</v>
      </c>
      <c r="CG25" s="167"/>
      <c r="CH25" s="167">
        <v>4.5</v>
      </c>
      <c r="CI25" s="168"/>
      <c r="CJ25" s="167" t="s">
        <v>834</v>
      </c>
      <c r="CK25" s="167"/>
      <c r="CL25" s="385" t="s">
        <v>834</v>
      </c>
      <c r="CM25" s="167"/>
      <c r="CN25" s="385" t="s">
        <v>834</v>
      </c>
      <c r="CO25" s="167"/>
      <c r="CP25" s="167" t="s">
        <v>834</v>
      </c>
      <c r="CQ25" s="167"/>
      <c r="CR25" s="373" t="s">
        <v>834</v>
      </c>
      <c r="CS25" s="373"/>
      <c r="CT25" s="164">
        <v>0.48399999999999999</v>
      </c>
      <c r="CU25" s="168" t="s">
        <v>902</v>
      </c>
      <c r="CV25" s="442" t="s">
        <v>834</v>
      </c>
      <c r="CW25" s="168" t="s">
        <v>903</v>
      </c>
      <c r="CX25" s="168" t="s">
        <v>834</v>
      </c>
      <c r="CY25" s="168"/>
      <c r="CZ25" s="173" t="s">
        <v>834</v>
      </c>
      <c r="DA25" s="171" t="s">
        <v>904</v>
      </c>
      <c r="DB25" s="371" t="s">
        <v>546</v>
      </c>
      <c r="DC25" s="371">
        <f t="shared" ref="DC25:DC28" si="1">COUNT(D25:CZ25)</f>
        <v>6</v>
      </c>
      <c r="DD25" s="371"/>
      <c r="DE25" s="371"/>
      <c r="DF25" s="371"/>
      <c r="DG25" s="371"/>
      <c r="DH25" s="371"/>
      <c r="DI25" s="371"/>
      <c r="DJ25" s="371"/>
      <c r="DK25" s="371"/>
      <c r="DL25" s="371"/>
      <c r="DM25" s="371"/>
      <c r="DN25" s="371"/>
      <c r="DO25" s="371"/>
      <c r="DP25" s="371"/>
      <c r="DQ25" s="371"/>
      <c r="DR25" s="371"/>
    </row>
    <row r="26" spans="1:122" ht="18.75" x14ac:dyDescent="0.3">
      <c r="A26" s="325">
        <v>541360</v>
      </c>
      <c r="B26" s="326">
        <v>7</v>
      </c>
      <c r="C26" s="327" t="s">
        <v>905</v>
      </c>
      <c r="D26" s="424" t="s">
        <v>834</v>
      </c>
      <c r="E26" s="328"/>
      <c r="F26" s="173" t="s">
        <v>546</v>
      </c>
      <c r="G26" s="173"/>
      <c r="H26" s="425" t="s">
        <v>834</v>
      </c>
      <c r="I26" s="168"/>
      <c r="J26" s="173" t="s">
        <v>834</v>
      </c>
      <c r="K26" s="371"/>
      <c r="L26" s="426" t="s">
        <v>834</v>
      </c>
      <c r="M26" s="427"/>
      <c r="N26" s="173" t="s">
        <v>834</v>
      </c>
      <c r="O26" s="171"/>
      <c r="P26" s="385">
        <v>6.35</v>
      </c>
      <c r="Q26" s="427" t="s">
        <v>896</v>
      </c>
      <c r="R26" s="374">
        <v>0.39800000000000002</v>
      </c>
      <c r="S26" s="168" t="s">
        <v>837</v>
      </c>
      <c r="T26" s="428" t="s">
        <v>834</v>
      </c>
      <c r="U26" s="376"/>
      <c r="V26" s="441" t="s">
        <v>834</v>
      </c>
      <c r="W26" s="377" t="s">
        <v>897</v>
      </c>
      <c r="X26" s="167" t="s">
        <v>834</v>
      </c>
      <c r="Y26" s="168" t="s">
        <v>856</v>
      </c>
      <c r="Z26" s="167">
        <v>4</v>
      </c>
      <c r="AA26" s="168"/>
      <c r="AB26" s="167" t="s">
        <v>834</v>
      </c>
      <c r="AC26" s="168"/>
      <c r="AD26" s="430" t="s">
        <v>834</v>
      </c>
      <c r="AE26" s="168"/>
      <c r="AF26" s="173" t="s">
        <v>834</v>
      </c>
      <c r="AG26" s="171"/>
      <c r="AH26" s="167" t="s">
        <v>834</v>
      </c>
      <c r="AI26" s="168"/>
      <c r="AJ26" s="373" t="s">
        <v>834</v>
      </c>
      <c r="AK26" s="431"/>
      <c r="AL26" s="167" t="s">
        <v>834</v>
      </c>
      <c r="AM26" s="168"/>
      <c r="AN26" s="173" t="s">
        <v>834</v>
      </c>
      <c r="AO26" s="171"/>
      <c r="AP26" s="432" t="s">
        <v>834</v>
      </c>
      <c r="AQ26" s="168"/>
      <c r="AR26" s="173" t="s">
        <v>834</v>
      </c>
      <c r="AS26" s="171"/>
      <c r="AT26" s="173" t="s">
        <v>834</v>
      </c>
      <c r="AU26" s="171"/>
      <c r="AV26" s="381" t="s">
        <v>834</v>
      </c>
      <c r="AW26" s="168"/>
      <c r="AX26" s="443" t="s">
        <v>834</v>
      </c>
      <c r="AY26" s="427"/>
      <c r="AZ26" s="167">
        <v>7</v>
      </c>
      <c r="BA26" s="454" t="s">
        <v>906</v>
      </c>
      <c r="BB26" s="164" t="s">
        <v>834</v>
      </c>
      <c r="BC26" s="168"/>
      <c r="BD26" s="434"/>
      <c r="BE26" s="427"/>
      <c r="BF26" s="384" t="s">
        <v>834</v>
      </c>
      <c r="BG26" s="168"/>
      <c r="BH26" s="432" t="s">
        <v>834</v>
      </c>
      <c r="BI26" s="168"/>
      <c r="BJ26" s="167"/>
      <c r="BK26" s="167"/>
      <c r="BL26" s="167" t="s">
        <v>834</v>
      </c>
      <c r="BM26" s="168"/>
      <c r="BN26" s="173">
        <v>5.125</v>
      </c>
      <c r="BO26" s="171"/>
      <c r="BP26" s="435" t="s">
        <v>834</v>
      </c>
      <c r="BQ26" s="436"/>
      <c r="BR26" s="167" t="s">
        <v>834</v>
      </c>
      <c r="BS26" s="168"/>
      <c r="BT26" s="167" t="s">
        <v>834</v>
      </c>
      <c r="BU26" s="168" t="s">
        <v>883</v>
      </c>
      <c r="BV26" s="167" t="s">
        <v>834</v>
      </c>
      <c r="BW26" s="168" t="s">
        <v>907</v>
      </c>
      <c r="BX26" s="437" t="s">
        <v>834</v>
      </c>
      <c r="BY26" s="171"/>
      <c r="BZ26" s="432"/>
      <c r="CA26" s="168"/>
      <c r="CB26" s="167" t="s">
        <v>834</v>
      </c>
      <c r="CC26" s="168"/>
      <c r="CD26" s="173" t="s">
        <v>834</v>
      </c>
      <c r="CE26" s="171"/>
      <c r="CF26" s="167" t="s">
        <v>834</v>
      </c>
      <c r="CG26" s="168"/>
      <c r="CH26" s="167">
        <v>4.5</v>
      </c>
      <c r="CI26" s="168"/>
      <c r="CJ26" s="167" t="s">
        <v>834</v>
      </c>
      <c r="CK26" s="168"/>
      <c r="CL26" s="385" t="s">
        <v>834</v>
      </c>
      <c r="CM26" s="168"/>
      <c r="CN26" s="385" t="s">
        <v>834</v>
      </c>
      <c r="CO26" s="168"/>
      <c r="CP26" s="167" t="s">
        <v>834</v>
      </c>
      <c r="CQ26" s="168"/>
      <c r="CR26" s="373" t="s">
        <v>834</v>
      </c>
      <c r="CS26" s="427"/>
      <c r="CT26" s="455">
        <v>1.5</v>
      </c>
      <c r="CU26" s="168" t="s">
        <v>840</v>
      </c>
      <c r="CV26" s="432" t="s">
        <v>834</v>
      </c>
      <c r="CW26" s="168"/>
      <c r="CX26" s="168" t="s">
        <v>834</v>
      </c>
      <c r="CY26" s="168"/>
      <c r="CZ26" s="173" t="s">
        <v>834</v>
      </c>
      <c r="DA26" s="171" t="s">
        <v>908</v>
      </c>
      <c r="DB26" s="371" t="s">
        <v>546</v>
      </c>
      <c r="DC26" s="371">
        <f t="shared" si="1"/>
        <v>7</v>
      </c>
      <c r="DD26" s="371"/>
      <c r="DE26" s="371"/>
      <c r="DF26" s="371"/>
      <c r="DG26" s="371"/>
      <c r="DH26" s="371"/>
      <c r="DI26" s="371"/>
      <c r="DJ26" s="371"/>
      <c r="DK26" s="371"/>
      <c r="DL26" s="371"/>
      <c r="DM26" s="371"/>
      <c r="DN26" s="371"/>
      <c r="DO26" s="371"/>
      <c r="DP26" s="371"/>
      <c r="DQ26" s="371"/>
      <c r="DR26" s="371"/>
    </row>
    <row r="27" spans="1:122" ht="18.75" x14ac:dyDescent="0.3">
      <c r="A27" s="325">
        <v>213112</v>
      </c>
      <c r="B27" s="326">
        <v>8</v>
      </c>
      <c r="C27" s="327" t="s">
        <v>909</v>
      </c>
      <c r="D27" s="424" t="s">
        <v>834</v>
      </c>
      <c r="E27" s="328"/>
      <c r="F27" s="173" t="s">
        <v>546</v>
      </c>
      <c r="G27" s="173"/>
      <c r="H27" s="425" t="s">
        <v>834</v>
      </c>
      <c r="I27" s="168" t="s">
        <v>910</v>
      </c>
      <c r="J27" s="173">
        <v>5.6</v>
      </c>
      <c r="K27" s="371" t="s">
        <v>911</v>
      </c>
      <c r="L27" s="426" t="s">
        <v>834</v>
      </c>
      <c r="M27" s="427"/>
      <c r="N27" s="173" t="s">
        <v>834</v>
      </c>
      <c r="O27" s="171"/>
      <c r="P27" s="385">
        <v>6.35</v>
      </c>
      <c r="Q27" s="427" t="s">
        <v>896</v>
      </c>
      <c r="R27" s="374">
        <v>0.39800000000000002</v>
      </c>
      <c r="S27" s="168" t="s">
        <v>837</v>
      </c>
      <c r="T27" s="428" t="s">
        <v>834</v>
      </c>
      <c r="U27" s="376"/>
      <c r="V27" s="441" t="s">
        <v>834</v>
      </c>
      <c r="W27" s="377" t="s">
        <v>897</v>
      </c>
      <c r="X27" s="167" t="s">
        <v>834</v>
      </c>
      <c r="Y27" s="168" t="s">
        <v>856</v>
      </c>
      <c r="Z27" s="167">
        <v>4</v>
      </c>
      <c r="AA27" s="168"/>
      <c r="AB27" s="167" t="s">
        <v>834</v>
      </c>
      <c r="AC27" s="168"/>
      <c r="AD27" s="430" t="s">
        <v>834</v>
      </c>
      <c r="AE27" s="168"/>
      <c r="AF27" s="173" t="s">
        <v>834</v>
      </c>
      <c r="AG27" s="171"/>
      <c r="AH27" s="167" t="s">
        <v>834</v>
      </c>
      <c r="AI27" s="168"/>
      <c r="AJ27" s="425">
        <v>6.5</v>
      </c>
      <c r="AK27" s="431" t="s">
        <v>912</v>
      </c>
      <c r="AL27" s="167" t="s">
        <v>834</v>
      </c>
      <c r="AM27" s="168"/>
      <c r="AN27" s="173" t="s">
        <v>834</v>
      </c>
      <c r="AO27" s="171"/>
      <c r="AP27" s="432" t="s">
        <v>834</v>
      </c>
      <c r="AQ27" s="168"/>
      <c r="AR27" s="173" t="s">
        <v>834</v>
      </c>
      <c r="AS27" s="171"/>
      <c r="AT27" s="173" t="s">
        <v>834</v>
      </c>
      <c r="AU27" s="171"/>
      <c r="AV27" s="381" t="s">
        <v>834</v>
      </c>
      <c r="AW27" s="168"/>
      <c r="AX27" s="443" t="s">
        <v>834</v>
      </c>
      <c r="AY27" s="427"/>
      <c r="AZ27" s="167">
        <v>7</v>
      </c>
      <c r="BA27" s="427" t="s">
        <v>913</v>
      </c>
      <c r="BB27" s="164" t="s">
        <v>834</v>
      </c>
      <c r="BC27" s="168"/>
      <c r="BD27" s="434"/>
      <c r="BE27" s="427"/>
      <c r="BF27" s="384" t="s">
        <v>834</v>
      </c>
      <c r="BG27" s="168"/>
      <c r="BH27" s="432" t="s">
        <v>834</v>
      </c>
      <c r="BI27" s="168"/>
      <c r="BJ27" s="167"/>
      <c r="BK27" s="167"/>
      <c r="BL27" s="167" t="s">
        <v>834</v>
      </c>
      <c r="BM27" s="168"/>
      <c r="BN27" s="173">
        <v>5.125</v>
      </c>
      <c r="BO27" s="171"/>
      <c r="BP27" s="435" t="s">
        <v>834</v>
      </c>
      <c r="BQ27" s="436"/>
      <c r="BR27" s="167" t="s">
        <v>834</v>
      </c>
      <c r="BS27" s="168"/>
      <c r="BT27" s="167" t="s">
        <v>834</v>
      </c>
      <c r="BU27" s="168" t="s">
        <v>883</v>
      </c>
      <c r="BV27" s="167" t="s">
        <v>834</v>
      </c>
      <c r="BW27" s="168" t="s">
        <v>914</v>
      </c>
      <c r="BX27" s="437" t="s">
        <v>834</v>
      </c>
      <c r="BY27" s="171"/>
      <c r="BZ27" s="442"/>
      <c r="CA27" s="168" t="s">
        <v>915</v>
      </c>
      <c r="CB27" s="167" t="s">
        <v>834</v>
      </c>
      <c r="CC27" s="168"/>
      <c r="CD27" s="173" t="s">
        <v>834</v>
      </c>
      <c r="CE27" s="171"/>
      <c r="CF27" s="167" t="s">
        <v>834</v>
      </c>
      <c r="CG27" s="168"/>
      <c r="CH27" s="167">
        <v>4.5</v>
      </c>
      <c r="CI27" s="168"/>
      <c r="CJ27" s="167" t="s">
        <v>834</v>
      </c>
      <c r="CK27" s="168"/>
      <c r="CL27" s="445">
        <v>2.42</v>
      </c>
      <c r="CM27" s="168" t="s">
        <v>916</v>
      </c>
      <c r="CN27" s="385">
        <v>4.7</v>
      </c>
      <c r="CO27" s="168" t="s">
        <v>917</v>
      </c>
      <c r="CP27" s="167" t="s">
        <v>834</v>
      </c>
      <c r="CQ27" s="168"/>
      <c r="CR27" s="373" t="s">
        <v>834</v>
      </c>
      <c r="CS27" s="427"/>
      <c r="CT27" s="432">
        <v>1.5</v>
      </c>
      <c r="CU27" s="168" t="s">
        <v>840</v>
      </c>
      <c r="CV27" s="432" t="s">
        <v>834</v>
      </c>
      <c r="CW27" s="168"/>
      <c r="CX27" s="168" t="s">
        <v>834</v>
      </c>
      <c r="CY27" s="168"/>
      <c r="CZ27" s="173">
        <v>4</v>
      </c>
      <c r="DA27" s="171" t="s">
        <v>918</v>
      </c>
      <c r="DB27" s="371" t="s">
        <v>847</v>
      </c>
      <c r="DC27" s="371">
        <f t="shared" si="1"/>
        <v>12</v>
      </c>
      <c r="DD27" s="371"/>
      <c r="DE27" s="371"/>
      <c r="DF27" s="371"/>
      <c r="DG27" s="371"/>
      <c r="DH27" s="371"/>
      <c r="DI27" s="371"/>
      <c r="DJ27" s="371"/>
      <c r="DK27" s="371"/>
      <c r="DL27" s="371"/>
      <c r="DM27" s="371"/>
      <c r="DN27" s="371"/>
      <c r="DO27" s="371"/>
      <c r="DP27" s="371"/>
      <c r="DQ27" s="371"/>
      <c r="DR27" s="371"/>
    </row>
    <row r="28" spans="1:122" ht="18.75" x14ac:dyDescent="0.3">
      <c r="A28" s="325">
        <v>32312</v>
      </c>
      <c r="B28" s="326">
        <v>9</v>
      </c>
      <c r="C28" s="327" t="s">
        <v>919</v>
      </c>
      <c r="D28" s="424" t="s">
        <v>834</v>
      </c>
      <c r="E28" s="328" t="s">
        <v>920</v>
      </c>
      <c r="F28" s="173" t="s">
        <v>546</v>
      </c>
      <c r="G28" s="173"/>
      <c r="H28" s="425" t="s">
        <v>834</v>
      </c>
      <c r="I28" s="168"/>
      <c r="J28" s="173">
        <v>5.6</v>
      </c>
      <c r="K28" s="371" t="s">
        <v>921</v>
      </c>
      <c r="L28" s="426">
        <v>7.25</v>
      </c>
      <c r="M28" s="427" t="s">
        <v>922</v>
      </c>
      <c r="N28" s="173" t="s">
        <v>834</v>
      </c>
      <c r="O28" s="171"/>
      <c r="P28" s="385">
        <v>6.35</v>
      </c>
      <c r="Q28" s="427" t="s">
        <v>923</v>
      </c>
      <c r="R28" s="374">
        <v>0.39800000000000002</v>
      </c>
      <c r="S28" s="168" t="s">
        <v>837</v>
      </c>
      <c r="T28" s="428">
        <v>5.75</v>
      </c>
      <c r="U28" s="376"/>
      <c r="V28" s="441" t="s">
        <v>834</v>
      </c>
      <c r="W28" s="377" t="s">
        <v>924</v>
      </c>
      <c r="X28" s="373" t="s">
        <v>834</v>
      </c>
      <c r="Y28" s="168" t="s">
        <v>925</v>
      </c>
      <c r="Z28" s="167">
        <v>4</v>
      </c>
      <c r="AA28" s="168"/>
      <c r="AB28" s="167">
        <v>6</v>
      </c>
      <c r="AC28" s="168" t="s">
        <v>926</v>
      </c>
      <c r="AD28" s="430" t="s">
        <v>834</v>
      </c>
      <c r="AE28" s="168"/>
      <c r="AF28" s="173" t="s">
        <v>834</v>
      </c>
      <c r="AG28" s="171"/>
      <c r="AH28" s="167" t="s">
        <v>834</v>
      </c>
      <c r="AI28" s="168"/>
      <c r="AJ28" s="373">
        <v>6.5</v>
      </c>
      <c r="AK28" s="431" t="s">
        <v>927</v>
      </c>
      <c r="AL28" s="167" t="s">
        <v>834</v>
      </c>
      <c r="AM28" s="168" t="s">
        <v>928</v>
      </c>
      <c r="AN28" s="173">
        <v>5</v>
      </c>
      <c r="AO28" s="171" t="s">
        <v>929</v>
      </c>
      <c r="AP28" s="432" t="s">
        <v>834</v>
      </c>
      <c r="AQ28" s="168"/>
      <c r="AR28" s="173" t="s">
        <v>834</v>
      </c>
      <c r="AS28" s="171"/>
      <c r="AT28" s="173" t="s">
        <v>834</v>
      </c>
      <c r="AU28" s="171"/>
      <c r="AV28" s="381">
        <v>6</v>
      </c>
      <c r="AW28" s="168" t="s">
        <v>930</v>
      </c>
      <c r="AX28" s="443">
        <v>6.875</v>
      </c>
      <c r="AY28" s="427" t="s">
        <v>931</v>
      </c>
      <c r="AZ28" s="167">
        <v>7</v>
      </c>
      <c r="BA28" s="427"/>
      <c r="BB28" s="164" t="s">
        <v>834</v>
      </c>
      <c r="BC28" s="167"/>
      <c r="BD28" s="434"/>
      <c r="BE28" s="427"/>
      <c r="BF28" s="384">
        <v>5.5</v>
      </c>
      <c r="BG28" s="168"/>
      <c r="BH28" s="432" t="s">
        <v>834</v>
      </c>
      <c r="BI28" s="167"/>
      <c r="BJ28" s="167"/>
      <c r="BK28" s="167"/>
      <c r="BL28" s="167" t="s">
        <v>834</v>
      </c>
      <c r="BM28" s="167"/>
      <c r="BN28" s="173">
        <v>5.125</v>
      </c>
      <c r="BO28" s="171"/>
      <c r="BP28" s="435" t="s">
        <v>834</v>
      </c>
      <c r="BQ28" s="436"/>
      <c r="BR28" s="445">
        <v>4.75</v>
      </c>
      <c r="BS28" s="168" t="s">
        <v>932</v>
      </c>
      <c r="BT28" s="167" t="s">
        <v>834</v>
      </c>
      <c r="BU28" s="168" t="s">
        <v>933</v>
      </c>
      <c r="BV28" s="167">
        <v>5.75</v>
      </c>
      <c r="BW28" s="168" t="s">
        <v>934</v>
      </c>
      <c r="BX28" s="437" t="s">
        <v>834</v>
      </c>
      <c r="BY28" s="171"/>
      <c r="BZ28" s="432"/>
      <c r="CA28" s="168"/>
      <c r="CB28" s="167" t="s">
        <v>834</v>
      </c>
      <c r="CC28" s="167"/>
      <c r="CD28" s="173" t="s">
        <v>834</v>
      </c>
      <c r="CE28" s="171"/>
      <c r="CF28" s="167" t="s">
        <v>834</v>
      </c>
      <c r="CG28" s="167"/>
      <c r="CH28" s="167">
        <v>4.5</v>
      </c>
      <c r="CI28" s="168"/>
      <c r="CJ28" s="167" t="s">
        <v>834</v>
      </c>
      <c r="CK28" s="168"/>
      <c r="CL28" s="385">
        <v>6.25</v>
      </c>
      <c r="CM28" s="168" t="s">
        <v>935</v>
      </c>
      <c r="CN28" s="385">
        <v>4.7</v>
      </c>
      <c r="CO28" s="168" t="s">
        <v>936</v>
      </c>
      <c r="CP28" s="167" t="s">
        <v>834</v>
      </c>
      <c r="CQ28" s="167"/>
      <c r="CR28" s="373">
        <v>5.3</v>
      </c>
      <c r="CS28" s="454" t="s">
        <v>937</v>
      </c>
      <c r="CT28" s="455">
        <v>6.5</v>
      </c>
      <c r="CU28" s="168" t="s">
        <v>938</v>
      </c>
      <c r="CV28" s="432">
        <v>6</v>
      </c>
      <c r="CW28" s="168" t="s">
        <v>939</v>
      </c>
      <c r="CX28" s="168">
        <v>5</v>
      </c>
      <c r="CY28" s="168" t="s">
        <v>940</v>
      </c>
      <c r="CZ28" s="173" t="s">
        <v>834</v>
      </c>
      <c r="DA28" s="171"/>
      <c r="DB28" s="371" t="s">
        <v>546</v>
      </c>
      <c r="DC28" s="371">
        <f t="shared" si="1"/>
        <v>23</v>
      </c>
      <c r="DD28" s="371"/>
      <c r="DE28" s="371"/>
      <c r="DF28" s="371"/>
      <c r="DG28" s="371"/>
      <c r="DH28" s="371"/>
      <c r="DI28" s="371"/>
      <c r="DJ28" s="371"/>
      <c r="DK28" s="371"/>
      <c r="DL28" s="371"/>
      <c r="DM28" s="371"/>
      <c r="DN28" s="371"/>
      <c r="DO28" s="371"/>
      <c r="DP28" s="371"/>
      <c r="DQ28" s="371"/>
      <c r="DR28" s="371"/>
    </row>
    <row r="29" spans="1:122" ht="18.75" x14ac:dyDescent="0.3">
      <c r="A29" s="325"/>
      <c r="B29" s="326"/>
      <c r="C29" s="456"/>
      <c r="D29" s="424"/>
      <c r="E29" s="328"/>
      <c r="F29" s="173"/>
      <c r="G29" s="173"/>
      <c r="H29" s="425"/>
      <c r="I29" s="168"/>
      <c r="J29" s="173"/>
      <c r="K29" s="371"/>
      <c r="L29" s="426"/>
      <c r="M29" s="427"/>
      <c r="N29" s="173"/>
      <c r="O29" s="171"/>
      <c r="P29" s="385"/>
      <c r="Q29" s="427"/>
      <c r="R29" s="374"/>
      <c r="S29" s="168"/>
      <c r="T29" s="428"/>
      <c r="U29" s="376"/>
      <c r="V29" s="429"/>
      <c r="W29" s="377"/>
      <c r="X29" s="167"/>
      <c r="Y29" s="168"/>
      <c r="Z29" s="167"/>
      <c r="AA29" s="168"/>
      <c r="AB29" s="167"/>
      <c r="AC29" s="168"/>
      <c r="AD29" s="430" t="s">
        <v>546</v>
      </c>
      <c r="AE29" s="168"/>
      <c r="AF29" s="173"/>
      <c r="AG29" s="171"/>
      <c r="AH29" s="167"/>
      <c r="AI29" s="168"/>
      <c r="AJ29" s="373"/>
      <c r="AK29" s="431"/>
      <c r="AL29" s="167"/>
      <c r="AM29" s="168"/>
      <c r="AN29" s="173"/>
      <c r="AO29" s="171"/>
      <c r="AP29" s="432"/>
      <c r="AQ29" s="168"/>
      <c r="AR29" s="173"/>
      <c r="AS29" s="171"/>
      <c r="AT29" s="173"/>
      <c r="AU29" s="171"/>
      <c r="AV29" s="381"/>
      <c r="AW29" s="168"/>
      <c r="AX29" s="433"/>
      <c r="AY29" s="427"/>
      <c r="AZ29" s="167"/>
      <c r="BA29" s="427"/>
      <c r="BB29" s="164"/>
      <c r="BC29" s="168"/>
      <c r="BD29" s="434"/>
      <c r="BE29" s="427"/>
      <c r="BF29" s="384"/>
      <c r="BG29" s="168"/>
      <c r="BH29" s="432"/>
      <c r="BI29" s="168"/>
      <c r="BJ29" s="167"/>
      <c r="BK29" s="167"/>
      <c r="BL29" s="167"/>
      <c r="BM29" s="168"/>
      <c r="BN29" s="173"/>
      <c r="BO29" s="171"/>
      <c r="BP29" s="435"/>
      <c r="BQ29" s="436"/>
      <c r="BR29" s="167"/>
      <c r="BS29" s="168"/>
      <c r="BT29" s="167"/>
      <c r="BU29" s="168"/>
      <c r="BV29" s="167"/>
      <c r="BW29" s="168"/>
      <c r="BX29" s="437"/>
      <c r="BY29" s="171"/>
      <c r="BZ29" s="432"/>
      <c r="CA29" s="168"/>
      <c r="CB29" s="167"/>
      <c r="CC29" s="168"/>
      <c r="CD29" s="173"/>
      <c r="CE29" s="171"/>
      <c r="CF29" s="167"/>
      <c r="CG29" s="168"/>
      <c r="CH29" s="167"/>
      <c r="CI29" s="168"/>
      <c r="CJ29" s="167"/>
      <c r="CK29" s="168"/>
      <c r="CL29" s="385"/>
      <c r="CM29" s="168"/>
      <c r="CN29" s="385"/>
      <c r="CO29" s="168"/>
      <c r="CP29" s="167"/>
      <c r="CQ29" s="168"/>
      <c r="CR29" s="373"/>
      <c r="CS29" s="427"/>
      <c r="CT29" s="432"/>
      <c r="CU29" s="168"/>
      <c r="CV29" s="432"/>
      <c r="CW29" s="168"/>
      <c r="CX29" s="168"/>
      <c r="CY29" s="168"/>
      <c r="CZ29" s="173"/>
      <c r="DA29" s="171"/>
      <c r="DB29" s="371" t="s">
        <v>546</v>
      </c>
      <c r="DC29" s="371"/>
      <c r="DD29" s="371"/>
      <c r="DE29" s="371"/>
      <c r="DF29" s="371"/>
      <c r="DG29" s="371"/>
      <c r="DH29" s="371"/>
      <c r="DI29" s="371"/>
      <c r="DJ29" s="371"/>
      <c r="DK29" s="371"/>
      <c r="DL29" s="371"/>
      <c r="DM29" s="371"/>
      <c r="DN29" s="371"/>
      <c r="DO29" s="371"/>
      <c r="DP29" s="371"/>
      <c r="DQ29" s="371"/>
      <c r="DR29" s="371"/>
    </row>
    <row r="30" spans="1:122" ht="18.75" x14ac:dyDescent="0.3">
      <c r="A30" s="389"/>
      <c r="B30" s="390"/>
      <c r="C30" s="391" t="s">
        <v>941</v>
      </c>
      <c r="D30" s="392" t="s">
        <v>832</v>
      </c>
      <c r="E30" s="393"/>
      <c r="F30" s="394" t="s">
        <v>832</v>
      </c>
      <c r="G30" s="394"/>
      <c r="H30" s="394" t="s">
        <v>832</v>
      </c>
      <c r="I30" s="170"/>
      <c r="J30" s="438" t="s">
        <v>832</v>
      </c>
      <c r="K30" s="397"/>
      <c r="L30" s="438" t="s">
        <v>832</v>
      </c>
      <c r="M30" s="409"/>
      <c r="N30" s="400" t="s">
        <v>832</v>
      </c>
      <c r="O30" s="172"/>
      <c r="P30" s="400" t="s">
        <v>832</v>
      </c>
      <c r="Q30" s="401"/>
      <c r="R30" s="400" t="s">
        <v>832</v>
      </c>
      <c r="S30" s="170"/>
      <c r="T30" s="400" t="s">
        <v>832</v>
      </c>
      <c r="U30" s="404"/>
      <c r="V30" s="400" t="s">
        <v>832</v>
      </c>
      <c r="W30" s="406"/>
      <c r="X30" s="400" t="s">
        <v>832</v>
      </c>
      <c r="Y30" s="170"/>
      <c r="Z30" s="400" t="s">
        <v>832</v>
      </c>
      <c r="AA30" s="170"/>
      <c r="AB30" s="400" t="s">
        <v>832</v>
      </c>
      <c r="AC30" s="170"/>
      <c r="AD30" s="408" t="s">
        <v>832</v>
      </c>
      <c r="AE30" s="170"/>
      <c r="AF30" s="408" t="s">
        <v>832</v>
      </c>
      <c r="AG30" s="172"/>
      <c r="AH30" s="408" t="s">
        <v>832</v>
      </c>
      <c r="AI30" s="170"/>
      <c r="AJ30" s="408" t="s">
        <v>832</v>
      </c>
      <c r="AK30" s="409"/>
      <c r="AL30" s="408" t="s">
        <v>832</v>
      </c>
      <c r="AM30" s="170"/>
      <c r="AN30" s="438" t="s">
        <v>832</v>
      </c>
      <c r="AO30" s="172"/>
      <c r="AP30" s="408" t="s">
        <v>832</v>
      </c>
      <c r="AQ30" s="170"/>
      <c r="AR30" s="438" t="s">
        <v>832</v>
      </c>
      <c r="AS30" s="172"/>
      <c r="AT30" s="438" t="s">
        <v>832</v>
      </c>
      <c r="AU30" s="172"/>
      <c r="AV30" s="408" t="s">
        <v>832</v>
      </c>
      <c r="AW30" s="170"/>
      <c r="AX30" s="408" t="s">
        <v>832</v>
      </c>
      <c r="AY30" s="401"/>
      <c r="AZ30" s="408" t="s">
        <v>832</v>
      </c>
      <c r="BA30" s="409"/>
      <c r="BB30" s="408" t="s">
        <v>832</v>
      </c>
      <c r="BC30" s="170"/>
      <c r="BD30" s="408" t="s">
        <v>832</v>
      </c>
      <c r="BE30" s="401"/>
      <c r="BF30" s="408" t="s">
        <v>832</v>
      </c>
      <c r="BG30" s="170"/>
      <c r="BH30" s="408" t="s">
        <v>832</v>
      </c>
      <c r="BI30" s="170"/>
      <c r="BJ30" s="408" t="s">
        <v>832</v>
      </c>
      <c r="BK30" s="407"/>
      <c r="BL30" s="408" t="s">
        <v>832</v>
      </c>
      <c r="BM30" s="170"/>
      <c r="BN30" s="438" t="s">
        <v>832</v>
      </c>
      <c r="BO30" s="172"/>
      <c r="BP30" s="408" t="s">
        <v>832</v>
      </c>
      <c r="BQ30" s="419"/>
      <c r="BR30" s="407" t="s">
        <v>832</v>
      </c>
      <c r="BS30" s="170"/>
      <c r="BT30" s="408" t="s">
        <v>832</v>
      </c>
      <c r="BU30" s="170"/>
      <c r="BV30" s="408" t="s">
        <v>832</v>
      </c>
      <c r="BW30" s="170"/>
      <c r="BX30" s="438" t="s">
        <v>832</v>
      </c>
      <c r="BY30" s="172"/>
      <c r="BZ30" s="416"/>
      <c r="CA30" s="170"/>
      <c r="CB30" s="408" t="s">
        <v>832</v>
      </c>
      <c r="CC30" s="170"/>
      <c r="CD30" s="408" t="s">
        <v>832</v>
      </c>
      <c r="CE30" s="172"/>
      <c r="CF30" s="408" t="s">
        <v>832</v>
      </c>
      <c r="CG30" s="170"/>
      <c r="CH30" s="408" t="s">
        <v>832</v>
      </c>
      <c r="CI30" s="170"/>
      <c r="CJ30" s="408" t="s">
        <v>832</v>
      </c>
      <c r="CK30" s="170"/>
      <c r="CL30" s="408" t="s">
        <v>832</v>
      </c>
      <c r="CM30" s="170"/>
      <c r="CN30" s="408" t="s">
        <v>832</v>
      </c>
      <c r="CO30" s="170"/>
      <c r="CP30" s="408" t="s">
        <v>832</v>
      </c>
      <c r="CQ30" s="170"/>
      <c r="CR30" s="408" t="s">
        <v>832</v>
      </c>
      <c r="CS30" s="401"/>
      <c r="CT30" s="408" t="s">
        <v>832</v>
      </c>
      <c r="CU30" s="170"/>
      <c r="CV30" s="408" t="s">
        <v>832</v>
      </c>
      <c r="CW30" s="170"/>
      <c r="CX30" s="408" t="s">
        <v>832</v>
      </c>
      <c r="CY30" s="170"/>
      <c r="CZ30" s="408" t="s">
        <v>832</v>
      </c>
      <c r="DA30" s="172"/>
      <c r="DB30" s="397" t="s">
        <v>546</v>
      </c>
      <c r="DC30" s="397"/>
      <c r="DD30" s="397"/>
      <c r="DE30" s="397"/>
      <c r="DF30" s="397"/>
      <c r="DG30" s="397"/>
      <c r="DH30" s="397"/>
      <c r="DI30" s="397"/>
      <c r="DJ30" s="397"/>
      <c r="DK30" s="397"/>
      <c r="DL30" s="397"/>
      <c r="DM30" s="397"/>
      <c r="DN30" s="397"/>
      <c r="DO30" s="397"/>
      <c r="DP30" s="397"/>
      <c r="DQ30" s="397"/>
      <c r="DR30" s="397"/>
    </row>
    <row r="31" spans="1:122" ht="18.75" x14ac:dyDescent="0.3">
      <c r="A31" s="325" t="s">
        <v>942</v>
      </c>
      <c r="B31" s="326">
        <v>10</v>
      </c>
      <c r="C31" s="327" t="s">
        <v>943</v>
      </c>
      <c r="D31" s="424" t="s">
        <v>834</v>
      </c>
      <c r="E31" s="328"/>
      <c r="F31" s="173" t="s">
        <v>546</v>
      </c>
      <c r="G31" s="173"/>
      <c r="H31" s="425" t="s">
        <v>834</v>
      </c>
      <c r="I31" s="168"/>
      <c r="J31" s="173">
        <v>5.6</v>
      </c>
      <c r="K31" s="371" t="s">
        <v>944</v>
      </c>
      <c r="L31" s="426" t="s">
        <v>834</v>
      </c>
      <c r="M31" s="427" t="s">
        <v>945</v>
      </c>
      <c r="N31" s="173" t="s">
        <v>834</v>
      </c>
      <c r="O31" s="171"/>
      <c r="P31" s="445">
        <v>6.35</v>
      </c>
      <c r="Q31" s="427" t="s">
        <v>946</v>
      </c>
      <c r="R31" s="457">
        <v>0.6472</v>
      </c>
      <c r="S31" s="168" t="s">
        <v>947</v>
      </c>
      <c r="T31" s="428" t="s">
        <v>834</v>
      </c>
      <c r="U31" s="376"/>
      <c r="V31" s="429" t="s">
        <v>834</v>
      </c>
      <c r="W31" s="377"/>
      <c r="X31" s="167" t="s">
        <v>834</v>
      </c>
      <c r="Y31" s="168" t="s">
        <v>948</v>
      </c>
      <c r="Z31" s="167">
        <v>4</v>
      </c>
      <c r="AA31" s="168" t="s">
        <v>949</v>
      </c>
      <c r="AB31" s="167" t="s">
        <v>834</v>
      </c>
      <c r="AC31" s="168"/>
      <c r="AD31" s="430" t="s">
        <v>834</v>
      </c>
      <c r="AE31" s="168"/>
      <c r="AF31" s="173" t="s">
        <v>834</v>
      </c>
      <c r="AG31" s="171"/>
      <c r="AH31" s="167" t="s">
        <v>834</v>
      </c>
      <c r="AI31" s="168"/>
      <c r="AJ31" s="425">
        <v>6.5</v>
      </c>
      <c r="AK31" s="431" t="s">
        <v>950</v>
      </c>
      <c r="AL31" s="167" t="s">
        <v>834</v>
      </c>
      <c r="AM31" s="168"/>
      <c r="AN31" s="173" t="s">
        <v>834</v>
      </c>
      <c r="AO31" s="171"/>
      <c r="AP31" s="432" t="s">
        <v>834</v>
      </c>
      <c r="AQ31" s="377" t="s">
        <v>951</v>
      </c>
      <c r="AR31" s="173" t="s">
        <v>834</v>
      </c>
      <c r="AS31" s="171"/>
      <c r="AT31" s="173" t="s">
        <v>834</v>
      </c>
      <c r="AU31" s="171"/>
      <c r="AV31" s="458" t="s">
        <v>834</v>
      </c>
      <c r="AW31" s="168" t="s">
        <v>952</v>
      </c>
      <c r="AX31" s="433" t="s">
        <v>834</v>
      </c>
      <c r="AY31" s="427" t="s">
        <v>953</v>
      </c>
      <c r="AZ31" s="373">
        <v>3.5</v>
      </c>
      <c r="BA31" s="427" t="s">
        <v>954</v>
      </c>
      <c r="BB31" s="164" t="s">
        <v>834</v>
      </c>
      <c r="BC31" s="168"/>
      <c r="BD31" s="459">
        <v>0.01</v>
      </c>
      <c r="BE31" s="427" t="s">
        <v>955</v>
      </c>
      <c r="BF31" s="460" t="s">
        <v>834</v>
      </c>
      <c r="BG31" s="168"/>
      <c r="BH31" s="432" t="s">
        <v>834</v>
      </c>
      <c r="BI31" s="168"/>
      <c r="BJ31" s="167" t="s">
        <v>546</v>
      </c>
      <c r="BK31" s="168"/>
      <c r="BL31" s="167" t="s">
        <v>834</v>
      </c>
      <c r="BM31" s="168" t="s">
        <v>956</v>
      </c>
      <c r="BN31" s="173">
        <v>5.125</v>
      </c>
      <c r="BO31" s="171" t="s">
        <v>957</v>
      </c>
      <c r="BP31" s="435" t="s">
        <v>834</v>
      </c>
      <c r="BQ31" s="436"/>
      <c r="BR31" s="167" t="s">
        <v>834</v>
      </c>
      <c r="BS31" s="168"/>
      <c r="BT31" s="167" t="s">
        <v>834</v>
      </c>
      <c r="BU31" s="168" t="s">
        <v>883</v>
      </c>
      <c r="BV31" s="167" t="s">
        <v>834</v>
      </c>
      <c r="BW31" s="168"/>
      <c r="BX31" s="437" t="s">
        <v>834</v>
      </c>
      <c r="BY31" s="171"/>
      <c r="BZ31" s="432"/>
      <c r="CA31" s="168"/>
      <c r="CB31" s="167" t="s">
        <v>834</v>
      </c>
      <c r="CC31" s="168"/>
      <c r="CD31" s="173" t="s">
        <v>834</v>
      </c>
      <c r="CE31" s="171"/>
      <c r="CF31" s="167" t="s">
        <v>834</v>
      </c>
      <c r="CG31" s="168"/>
      <c r="CH31" s="167">
        <v>2</v>
      </c>
      <c r="CI31" s="168" t="s">
        <v>958</v>
      </c>
      <c r="CJ31" s="373" t="s">
        <v>834</v>
      </c>
      <c r="CK31" s="444" t="s">
        <v>959</v>
      </c>
      <c r="CL31" s="385">
        <v>6.25</v>
      </c>
      <c r="CM31" s="461" t="s">
        <v>960</v>
      </c>
      <c r="CN31" s="385" t="s">
        <v>834</v>
      </c>
      <c r="CO31" s="168"/>
      <c r="CP31" s="167" t="s">
        <v>834</v>
      </c>
      <c r="CQ31" s="168"/>
      <c r="CR31" s="373" t="s">
        <v>834</v>
      </c>
      <c r="CS31" s="427"/>
      <c r="CT31" s="432">
        <v>6.5</v>
      </c>
      <c r="CU31" s="168" t="s">
        <v>938</v>
      </c>
      <c r="CV31" s="442" t="s">
        <v>834</v>
      </c>
      <c r="CW31" s="168" t="s">
        <v>961</v>
      </c>
      <c r="CX31" s="168" t="s">
        <v>834</v>
      </c>
      <c r="CY31" s="168" t="s">
        <v>962</v>
      </c>
      <c r="CZ31" s="173" t="s">
        <v>834</v>
      </c>
      <c r="DA31" s="171" t="s">
        <v>963</v>
      </c>
      <c r="DB31" s="371" t="s">
        <v>546</v>
      </c>
      <c r="DC31" s="371">
        <f t="shared" ref="DC31:DC34" si="2">COUNT(D31:CZ31)</f>
        <v>11</v>
      </c>
      <c r="DD31" s="371"/>
      <c r="DE31" s="371"/>
      <c r="DF31" s="371"/>
      <c r="DG31" s="371"/>
      <c r="DH31" s="371"/>
      <c r="DI31" s="371"/>
      <c r="DJ31" s="371"/>
      <c r="DK31" s="371"/>
      <c r="DL31" s="371"/>
      <c r="DM31" s="371"/>
      <c r="DN31" s="371"/>
      <c r="DO31" s="371"/>
      <c r="DP31" s="371"/>
      <c r="DQ31" s="371"/>
      <c r="DR31" s="371"/>
    </row>
    <row r="32" spans="1:122" ht="18.75" x14ac:dyDescent="0.3">
      <c r="A32" s="325">
        <v>2382</v>
      </c>
      <c r="B32" s="326">
        <v>11</v>
      </c>
      <c r="C32" s="327" t="s">
        <v>964</v>
      </c>
      <c r="D32" s="424" t="s">
        <v>834</v>
      </c>
      <c r="E32" s="328"/>
      <c r="F32" s="173"/>
      <c r="G32" s="173"/>
      <c r="H32" s="425" t="s">
        <v>834</v>
      </c>
      <c r="I32" s="168" t="s">
        <v>965</v>
      </c>
      <c r="J32" s="173">
        <v>5.6</v>
      </c>
      <c r="K32" s="371" t="s">
        <v>911</v>
      </c>
      <c r="L32" s="426" t="s">
        <v>834</v>
      </c>
      <c r="M32" s="427" t="s">
        <v>966</v>
      </c>
      <c r="N32" s="173" t="s">
        <v>834</v>
      </c>
      <c r="O32" s="171"/>
      <c r="P32" s="445">
        <v>6.35</v>
      </c>
      <c r="Q32" s="427" t="s">
        <v>946</v>
      </c>
      <c r="R32" s="457">
        <v>0.6472</v>
      </c>
      <c r="S32" s="168" t="s">
        <v>837</v>
      </c>
      <c r="T32" s="428" t="s">
        <v>834</v>
      </c>
      <c r="U32" s="376"/>
      <c r="V32" s="441" t="s">
        <v>834</v>
      </c>
      <c r="W32" s="377" t="s">
        <v>967</v>
      </c>
      <c r="X32" s="167" t="s">
        <v>834</v>
      </c>
      <c r="Y32" s="168" t="s">
        <v>948</v>
      </c>
      <c r="Z32" s="167">
        <v>4</v>
      </c>
      <c r="AA32" s="168"/>
      <c r="AB32" s="167" t="s">
        <v>834</v>
      </c>
      <c r="AC32" s="168"/>
      <c r="AD32" s="430" t="s">
        <v>834</v>
      </c>
      <c r="AE32" s="168"/>
      <c r="AF32" s="173" t="s">
        <v>834</v>
      </c>
      <c r="AG32" s="171"/>
      <c r="AH32" s="167">
        <v>6</v>
      </c>
      <c r="AI32" s="168" t="s">
        <v>876</v>
      </c>
      <c r="AJ32" s="373">
        <v>6.5</v>
      </c>
      <c r="AK32" s="431" t="s">
        <v>950</v>
      </c>
      <c r="AL32" s="167" t="s">
        <v>834</v>
      </c>
      <c r="AM32" s="168"/>
      <c r="AN32" s="173" t="s">
        <v>834</v>
      </c>
      <c r="AO32" s="171"/>
      <c r="AP32" s="432" t="s">
        <v>834</v>
      </c>
      <c r="AQ32" s="377" t="s">
        <v>951</v>
      </c>
      <c r="AR32" s="173" t="s">
        <v>834</v>
      </c>
      <c r="AS32" s="171"/>
      <c r="AT32" s="173" t="s">
        <v>834</v>
      </c>
      <c r="AU32" s="171"/>
      <c r="AV32" s="381" t="s">
        <v>834</v>
      </c>
      <c r="AW32" s="167"/>
      <c r="AX32" s="443" t="s">
        <v>834</v>
      </c>
      <c r="AY32" s="427" t="s">
        <v>953</v>
      </c>
      <c r="AZ32" s="373">
        <v>7</v>
      </c>
      <c r="BA32" s="427" t="s">
        <v>968</v>
      </c>
      <c r="BB32" s="164" t="s">
        <v>834</v>
      </c>
      <c r="BC32" s="167"/>
      <c r="BD32" s="434" t="s">
        <v>546</v>
      </c>
      <c r="BE32" s="427"/>
      <c r="BF32" s="460" t="s">
        <v>834</v>
      </c>
      <c r="BG32" s="168" t="s">
        <v>546</v>
      </c>
      <c r="BH32" s="432" t="s">
        <v>834</v>
      </c>
      <c r="BI32" s="167"/>
      <c r="BJ32" s="167"/>
      <c r="BK32" s="167"/>
      <c r="BL32" s="167" t="s">
        <v>834</v>
      </c>
      <c r="BM32" s="168" t="s">
        <v>969</v>
      </c>
      <c r="BN32" s="173">
        <v>5.125</v>
      </c>
      <c r="BO32" s="171" t="s">
        <v>957</v>
      </c>
      <c r="BP32" s="435" t="s">
        <v>834</v>
      </c>
      <c r="BQ32" s="436" t="s">
        <v>970</v>
      </c>
      <c r="BR32" s="167">
        <v>4.75</v>
      </c>
      <c r="BS32" s="168" t="s">
        <v>971</v>
      </c>
      <c r="BT32" s="167" t="s">
        <v>834</v>
      </c>
      <c r="BU32" s="168" t="s">
        <v>883</v>
      </c>
      <c r="BV32" s="167" t="s">
        <v>834</v>
      </c>
      <c r="BW32" s="168" t="s">
        <v>972</v>
      </c>
      <c r="BX32" s="437" t="s">
        <v>834</v>
      </c>
      <c r="BY32" s="171"/>
      <c r="BZ32" s="432"/>
      <c r="CA32" s="168"/>
      <c r="CB32" s="167" t="s">
        <v>834</v>
      </c>
      <c r="CC32" s="167"/>
      <c r="CD32" s="173" t="s">
        <v>834</v>
      </c>
      <c r="CE32" s="171"/>
      <c r="CF32" s="167" t="s">
        <v>834</v>
      </c>
      <c r="CG32" s="167"/>
      <c r="CH32" s="167">
        <v>2</v>
      </c>
      <c r="CI32" s="168" t="s">
        <v>958</v>
      </c>
      <c r="CJ32" s="373" t="s">
        <v>834</v>
      </c>
      <c r="CK32" s="444" t="s">
        <v>959</v>
      </c>
      <c r="CL32" s="385">
        <v>6.25</v>
      </c>
      <c r="CM32" s="461" t="s">
        <v>973</v>
      </c>
      <c r="CN32" s="385" t="s">
        <v>834</v>
      </c>
      <c r="CO32" s="168" t="s">
        <v>974</v>
      </c>
      <c r="CP32" s="167" t="s">
        <v>834</v>
      </c>
      <c r="CQ32" s="167"/>
      <c r="CR32" s="373" t="s">
        <v>834</v>
      </c>
      <c r="CS32" s="373"/>
      <c r="CT32" s="432">
        <v>6.5</v>
      </c>
      <c r="CU32" s="168" t="s">
        <v>938</v>
      </c>
      <c r="CV32" s="442">
        <v>6</v>
      </c>
      <c r="CW32" s="168" t="s">
        <v>961</v>
      </c>
      <c r="CX32" s="168" t="s">
        <v>834</v>
      </c>
      <c r="CY32" s="168" t="s">
        <v>962</v>
      </c>
      <c r="CZ32" s="173" t="s">
        <v>834</v>
      </c>
      <c r="DA32" s="171" t="s">
        <v>963</v>
      </c>
      <c r="DB32" s="371" t="s">
        <v>546</v>
      </c>
      <c r="DC32" s="371">
        <f t="shared" si="2"/>
        <v>13</v>
      </c>
      <c r="DD32" s="371"/>
      <c r="DE32" s="371"/>
      <c r="DF32" s="371"/>
      <c r="DG32" s="371"/>
      <c r="DH32" s="371"/>
      <c r="DI32" s="371"/>
      <c r="DJ32" s="371"/>
      <c r="DK32" s="371"/>
      <c r="DL32" s="371"/>
      <c r="DM32" s="371"/>
      <c r="DN32" s="371"/>
      <c r="DO32" s="371"/>
      <c r="DP32" s="371"/>
      <c r="DQ32" s="371"/>
      <c r="DR32" s="371"/>
    </row>
    <row r="33" spans="1:122" ht="18.75" x14ac:dyDescent="0.3">
      <c r="A33" s="325">
        <v>238910</v>
      </c>
      <c r="B33" s="326">
        <v>12</v>
      </c>
      <c r="C33" s="327" t="s">
        <v>975</v>
      </c>
      <c r="D33" s="424" t="s">
        <v>834</v>
      </c>
      <c r="E33" s="328"/>
      <c r="F33" s="173"/>
      <c r="G33" s="173"/>
      <c r="H33" s="425" t="s">
        <v>834</v>
      </c>
      <c r="I33" s="168"/>
      <c r="J33" s="173">
        <v>5.6</v>
      </c>
      <c r="K33" s="371" t="s">
        <v>911</v>
      </c>
      <c r="L33" s="426" t="s">
        <v>834</v>
      </c>
      <c r="M33" s="427" t="s">
        <v>945</v>
      </c>
      <c r="N33" s="173" t="s">
        <v>834</v>
      </c>
      <c r="O33" s="171"/>
      <c r="P33" s="445">
        <v>6.35</v>
      </c>
      <c r="Q33" s="427" t="s">
        <v>946</v>
      </c>
      <c r="R33" s="457">
        <v>0.6472</v>
      </c>
      <c r="S33" s="168" t="s">
        <v>837</v>
      </c>
      <c r="T33" s="428" t="s">
        <v>834</v>
      </c>
      <c r="U33" s="376"/>
      <c r="V33" s="441" t="s">
        <v>834</v>
      </c>
      <c r="W33" s="377" t="s">
        <v>967</v>
      </c>
      <c r="X33" s="167" t="s">
        <v>834</v>
      </c>
      <c r="Y33" s="168" t="s">
        <v>948</v>
      </c>
      <c r="Z33" s="167">
        <v>4</v>
      </c>
      <c r="AA33" s="168"/>
      <c r="AB33" s="167" t="s">
        <v>834</v>
      </c>
      <c r="AC33" s="168"/>
      <c r="AD33" s="430" t="s">
        <v>834</v>
      </c>
      <c r="AE33" s="168"/>
      <c r="AF33" s="173" t="s">
        <v>834</v>
      </c>
      <c r="AG33" s="171"/>
      <c r="AH33" s="167">
        <v>6</v>
      </c>
      <c r="AI33" s="168" t="s">
        <v>876</v>
      </c>
      <c r="AJ33" s="373" t="s">
        <v>834</v>
      </c>
      <c r="AK33" s="431"/>
      <c r="AL33" s="167" t="s">
        <v>834</v>
      </c>
      <c r="AM33" s="168"/>
      <c r="AN33" s="173" t="s">
        <v>834</v>
      </c>
      <c r="AO33" s="171"/>
      <c r="AP33" s="432" t="s">
        <v>834</v>
      </c>
      <c r="AQ33" s="377" t="s">
        <v>951</v>
      </c>
      <c r="AR33" s="173" t="s">
        <v>834</v>
      </c>
      <c r="AS33" s="171"/>
      <c r="AT33" s="173" t="s">
        <v>834</v>
      </c>
      <c r="AU33" s="171"/>
      <c r="AV33" s="381" t="s">
        <v>834</v>
      </c>
      <c r="AW33" s="168" t="s">
        <v>976</v>
      </c>
      <c r="AX33" s="433" t="s">
        <v>834</v>
      </c>
      <c r="AY33" s="427" t="s">
        <v>953</v>
      </c>
      <c r="AZ33" s="373">
        <v>7</v>
      </c>
      <c r="BA33" s="462" t="s">
        <v>977</v>
      </c>
      <c r="BB33" s="164" t="s">
        <v>834</v>
      </c>
      <c r="BC33" s="167"/>
      <c r="BD33" s="434" t="s">
        <v>546</v>
      </c>
      <c r="BE33" s="427"/>
      <c r="BF33" s="460" t="s">
        <v>834</v>
      </c>
      <c r="BG33" s="168" t="s">
        <v>546</v>
      </c>
      <c r="BH33" s="432" t="s">
        <v>834</v>
      </c>
      <c r="BI33" s="167"/>
      <c r="BJ33" s="167"/>
      <c r="BK33" s="167"/>
      <c r="BL33" s="373">
        <v>6.875</v>
      </c>
      <c r="BM33" s="168" t="s">
        <v>978</v>
      </c>
      <c r="BN33" s="173">
        <v>5.125</v>
      </c>
      <c r="BO33" s="171" t="s">
        <v>957</v>
      </c>
      <c r="BP33" s="435" t="s">
        <v>834</v>
      </c>
      <c r="BQ33" s="436" t="s">
        <v>970</v>
      </c>
      <c r="BR33" s="167" t="s">
        <v>834</v>
      </c>
      <c r="BS33" s="167"/>
      <c r="BT33" s="167" t="s">
        <v>834</v>
      </c>
      <c r="BU33" s="167"/>
      <c r="BV33" s="167" t="s">
        <v>834</v>
      </c>
      <c r="BW33" s="167"/>
      <c r="BX33" s="437" t="s">
        <v>834</v>
      </c>
      <c r="BY33" s="171"/>
      <c r="BZ33" s="432"/>
      <c r="CA33" s="168"/>
      <c r="CB33" s="167" t="s">
        <v>834</v>
      </c>
      <c r="CC33" s="167"/>
      <c r="CD33" s="173" t="s">
        <v>834</v>
      </c>
      <c r="CE33" s="171"/>
      <c r="CF33" s="167" t="s">
        <v>834</v>
      </c>
      <c r="CG33" s="167"/>
      <c r="CH33" s="167">
        <v>2</v>
      </c>
      <c r="CI33" s="168" t="s">
        <v>958</v>
      </c>
      <c r="CJ33" s="167" t="s">
        <v>834</v>
      </c>
      <c r="CK33" s="168"/>
      <c r="CL33" s="385">
        <v>6.25</v>
      </c>
      <c r="CM33" s="461" t="s">
        <v>979</v>
      </c>
      <c r="CN33" s="385" t="s">
        <v>834</v>
      </c>
      <c r="CO33" s="167"/>
      <c r="CP33" s="167" t="s">
        <v>834</v>
      </c>
      <c r="CQ33" s="167"/>
      <c r="CR33" s="373" t="s">
        <v>834</v>
      </c>
      <c r="CS33" s="373"/>
      <c r="CT33" s="432">
        <v>6.5</v>
      </c>
      <c r="CU33" s="168" t="s">
        <v>938</v>
      </c>
      <c r="CV33" s="432" t="s">
        <v>834</v>
      </c>
      <c r="CW33" s="168"/>
      <c r="CX33" s="168" t="s">
        <v>834</v>
      </c>
      <c r="CY33" s="168" t="s">
        <v>980</v>
      </c>
      <c r="CZ33" s="173" t="s">
        <v>834</v>
      </c>
      <c r="DA33" s="171" t="s">
        <v>963</v>
      </c>
      <c r="DB33" s="371" t="s">
        <v>847</v>
      </c>
      <c r="DC33" s="371">
        <f t="shared" si="2"/>
        <v>11</v>
      </c>
      <c r="DD33" s="371"/>
      <c r="DE33" s="371"/>
      <c r="DF33" s="371"/>
      <c r="DG33" s="371"/>
      <c r="DH33" s="371"/>
      <c r="DI33" s="371"/>
      <c r="DJ33" s="371"/>
      <c r="DK33" s="371"/>
      <c r="DL33" s="371"/>
      <c r="DM33" s="371"/>
      <c r="DN33" s="371"/>
      <c r="DO33" s="371"/>
      <c r="DP33" s="371"/>
      <c r="DQ33" s="371"/>
      <c r="DR33" s="371"/>
    </row>
    <row r="34" spans="1:122" ht="18.75" x14ac:dyDescent="0.3">
      <c r="A34" s="325">
        <v>237110</v>
      </c>
      <c r="B34" s="326">
        <v>13</v>
      </c>
      <c r="C34" s="327" t="s">
        <v>981</v>
      </c>
      <c r="D34" s="424" t="s">
        <v>834</v>
      </c>
      <c r="E34" s="328"/>
      <c r="F34" s="173"/>
      <c r="G34" s="173"/>
      <c r="H34" s="425" t="s">
        <v>834</v>
      </c>
      <c r="I34" s="168"/>
      <c r="J34" s="173">
        <v>5.6</v>
      </c>
      <c r="K34" s="371" t="s">
        <v>982</v>
      </c>
      <c r="L34" s="426" t="s">
        <v>834</v>
      </c>
      <c r="M34" s="427" t="s">
        <v>983</v>
      </c>
      <c r="N34" s="173" t="s">
        <v>834</v>
      </c>
      <c r="O34" s="171"/>
      <c r="P34" s="445">
        <v>6.35</v>
      </c>
      <c r="Q34" s="427" t="s">
        <v>946</v>
      </c>
      <c r="R34" s="457">
        <v>0.6472</v>
      </c>
      <c r="S34" s="168" t="s">
        <v>837</v>
      </c>
      <c r="T34" s="428" t="s">
        <v>834</v>
      </c>
      <c r="U34" s="376"/>
      <c r="V34" s="441" t="s">
        <v>834</v>
      </c>
      <c r="W34" s="377" t="s">
        <v>967</v>
      </c>
      <c r="X34" s="167" t="s">
        <v>834</v>
      </c>
      <c r="Y34" s="168" t="s">
        <v>948</v>
      </c>
      <c r="Z34" s="167">
        <v>4</v>
      </c>
      <c r="AA34" s="168"/>
      <c r="AB34" s="167" t="s">
        <v>834</v>
      </c>
      <c r="AC34" s="168"/>
      <c r="AD34" s="430" t="s">
        <v>834</v>
      </c>
      <c r="AE34" s="168"/>
      <c r="AF34" s="173" t="s">
        <v>834</v>
      </c>
      <c r="AG34" s="171"/>
      <c r="AH34" s="167">
        <v>6</v>
      </c>
      <c r="AI34" s="168" t="s">
        <v>876</v>
      </c>
      <c r="AJ34" s="425">
        <v>6.5</v>
      </c>
      <c r="AK34" s="431" t="s">
        <v>984</v>
      </c>
      <c r="AL34" s="167" t="s">
        <v>834</v>
      </c>
      <c r="AM34" s="168"/>
      <c r="AN34" s="173" t="s">
        <v>834</v>
      </c>
      <c r="AO34" s="171"/>
      <c r="AP34" s="432" t="s">
        <v>834</v>
      </c>
      <c r="AQ34" s="377" t="s">
        <v>951</v>
      </c>
      <c r="AR34" s="173" t="s">
        <v>834</v>
      </c>
      <c r="AS34" s="171"/>
      <c r="AT34" s="173" t="s">
        <v>834</v>
      </c>
      <c r="AU34" s="171"/>
      <c r="AV34" s="381" t="s">
        <v>834</v>
      </c>
      <c r="AW34" s="167"/>
      <c r="AX34" s="433" t="s">
        <v>834</v>
      </c>
      <c r="AY34" s="427"/>
      <c r="AZ34" s="373">
        <v>7</v>
      </c>
      <c r="BA34" s="462" t="s">
        <v>977</v>
      </c>
      <c r="BB34" s="164" t="s">
        <v>834</v>
      </c>
      <c r="BC34" s="167"/>
      <c r="BD34" s="434" t="s">
        <v>546</v>
      </c>
      <c r="BE34" s="427"/>
      <c r="BF34" s="384" t="s">
        <v>834</v>
      </c>
      <c r="BG34" s="168"/>
      <c r="BH34" s="432" t="s">
        <v>834</v>
      </c>
      <c r="BI34" s="167"/>
      <c r="BJ34" s="167"/>
      <c r="BK34" s="167"/>
      <c r="BL34" s="167" t="s">
        <v>834</v>
      </c>
      <c r="BM34" s="167"/>
      <c r="BN34" s="173">
        <v>5.125</v>
      </c>
      <c r="BO34" s="171" t="s">
        <v>957</v>
      </c>
      <c r="BP34" s="435" t="s">
        <v>834</v>
      </c>
      <c r="BQ34" s="436"/>
      <c r="BR34" s="167" t="s">
        <v>834</v>
      </c>
      <c r="BS34" s="167"/>
      <c r="BT34" s="167" t="s">
        <v>834</v>
      </c>
      <c r="BU34" s="168" t="s">
        <v>883</v>
      </c>
      <c r="BV34" s="167" t="s">
        <v>834</v>
      </c>
      <c r="BW34" s="167"/>
      <c r="BX34" s="437" t="s">
        <v>834</v>
      </c>
      <c r="BY34" s="171"/>
      <c r="BZ34" s="432"/>
      <c r="CA34" s="168"/>
      <c r="CB34" s="167" t="s">
        <v>834</v>
      </c>
      <c r="CC34" s="167"/>
      <c r="CD34" s="173" t="s">
        <v>834</v>
      </c>
      <c r="CE34" s="171"/>
      <c r="CF34" s="167" t="s">
        <v>834</v>
      </c>
      <c r="CG34" s="167"/>
      <c r="CH34" s="167">
        <v>2</v>
      </c>
      <c r="CI34" s="168" t="s">
        <v>958</v>
      </c>
      <c r="CJ34" s="167" t="s">
        <v>834</v>
      </c>
      <c r="CK34" s="168"/>
      <c r="CL34" s="385" t="s">
        <v>834</v>
      </c>
      <c r="CM34" s="461"/>
      <c r="CN34" s="385" t="s">
        <v>834</v>
      </c>
      <c r="CO34" s="167"/>
      <c r="CP34" s="167" t="s">
        <v>834</v>
      </c>
      <c r="CQ34" s="167"/>
      <c r="CR34" s="373" t="s">
        <v>834</v>
      </c>
      <c r="CS34" s="373"/>
      <c r="CT34" s="432">
        <v>6.5</v>
      </c>
      <c r="CU34" s="168" t="s">
        <v>985</v>
      </c>
      <c r="CV34" s="432" t="s">
        <v>834</v>
      </c>
      <c r="CW34" s="168"/>
      <c r="CX34" s="168" t="s">
        <v>834</v>
      </c>
      <c r="CY34" s="168"/>
      <c r="CZ34" s="173" t="s">
        <v>834</v>
      </c>
      <c r="DA34" s="171" t="s">
        <v>963</v>
      </c>
      <c r="DB34" s="371" t="s">
        <v>546</v>
      </c>
      <c r="DC34" s="371">
        <f t="shared" si="2"/>
        <v>10</v>
      </c>
      <c r="DD34" s="371"/>
      <c r="DE34" s="371"/>
      <c r="DF34" s="371"/>
      <c r="DG34" s="371"/>
      <c r="DH34" s="371"/>
      <c r="DI34" s="371"/>
      <c r="DJ34" s="371"/>
      <c r="DK34" s="371"/>
      <c r="DL34" s="371"/>
      <c r="DM34" s="371"/>
      <c r="DN34" s="371"/>
      <c r="DO34" s="371"/>
      <c r="DP34" s="371"/>
      <c r="DQ34" s="371"/>
      <c r="DR34" s="371"/>
    </row>
    <row r="35" spans="1:122" ht="18.75" x14ac:dyDescent="0.3">
      <c r="A35" s="325"/>
      <c r="B35" s="326"/>
      <c r="C35" s="456"/>
      <c r="D35" s="424"/>
      <c r="E35" s="328"/>
      <c r="F35" s="173"/>
      <c r="G35" s="173"/>
      <c r="H35" s="425"/>
      <c r="I35" s="168"/>
      <c r="J35" s="173"/>
      <c r="K35" s="371"/>
      <c r="L35" s="426"/>
      <c r="M35" s="427"/>
      <c r="N35" s="173"/>
      <c r="O35" s="171"/>
      <c r="P35" s="385"/>
      <c r="Q35" s="427"/>
      <c r="R35" s="374"/>
      <c r="S35" s="168" t="s">
        <v>546</v>
      </c>
      <c r="T35" s="428"/>
      <c r="U35" s="463"/>
      <c r="V35" s="429"/>
      <c r="W35" s="377"/>
      <c r="X35" s="167"/>
      <c r="Y35" s="168"/>
      <c r="Z35" s="167"/>
      <c r="AA35" s="168"/>
      <c r="AB35" s="167"/>
      <c r="AC35" s="168"/>
      <c r="AD35" s="430" t="s">
        <v>546</v>
      </c>
      <c r="AE35" s="168"/>
      <c r="AF35" s="173"/>
      <c r="AG35" s="171"/>
      <c r="AH35" s="167"/>
      <c r="AI35" s="168"/>
      <c r="AJ35" s="373"/>
      <c r="AK35" s="431"/>
      <c r="AL35" s="167"/>
      <c r="AM35" s="168"/>
      <c r="AN35" s="173"/>
      <c r="AO35" s="171"/>
      <c r="AP35" s="432"/>
      <c r="AQ35" s="168"/>
      <c r="AR35" s="173"/>
      <c r="AS35" s="171"/>
      <c r="AT35" s="173"/>
      <c r="AU35" s="171"/>
      <c r="AV35" s="381"/>
      <c r="AW35" s="168"/>
      <c r="AX35" s="433"/>
      <c r="AY35" s="427"/>
      <c r="AZ35" s="167"/>
      <c r="BA35" s="427"/>
      <c r="BB35" s="164"/>
      <c r="BC35" s="168"/>
      <c r="BD35" s="464"/>
      <c r="BE35" s="427"/>
      <c r="BF35" s="384"/>
      <c r="BG35" s="168"/>
      <c r="BH35" s="432"/>
      <c r="BI35" s="168"/>
      <c r="BJ35" s="167"/>
      <c r="BK35" s="167"/>
      <c r="BL35" s="167"/>
      <c r="BM35" s="168"/>
      <c r="BN35" s="173"/>
      <c r="BO35" s="171"/>
      <c r="BP35" s="435"/>
      <c r="BQ35" s="436"/>
      <c r="BR35" s="167"/>
      <c r="BS35" s="168"/>
      <c r="BT35" s="167"/>
      <c r="BU35" s="168"/>
      <c r="BV35" s="167"/>
      <c r="BW35" s="168"/>
      <c r="BX35" s="437"/>
      <c r="BY35" s="171"/>
      <c r="BZ35" s="432"/>
      <c r="CA35" s="168"/>
      <c r="CB35" s="167"/>
      <c r="CC35" s="168"/>
      <c r="CD35" s="173"/>
      <c r="CE35" s="171"/>
      <c r="CF35" s="167"/>
      <c r="CG35" s="168"/>
      <c r="CH35" s="167"/>
      <c r="CI35" s="168"/>
      <c r="CJ35" s="167"/>
      <c r="CK35" s="168"/>
      <c r="CL35" s="385"/>
      <c r="CM35" s="168"/>
      <c r="CN35" s="385"/>
      <c r="CO35" s="167"/>
      <c r="CP35" s="167"/>
      <c r="CQ35" s="168"/>
      <c r="CR35" s="373"/>
      <c r="CS35" s="427"/>
      <c r="CT35" s="432"/>
      <c r="CU35" s="168"/>
      <c r="CV35" s="432"/>
      <c r="CW35" s="168"/>
      <c r="CX35" s="168"/>
      <c r="CY35" s="168"/>
      <c r="CZ35" s="173"/>
      <c r="DA35" s="171"/>
      <c r="DB35" s="371"/>
      <c r="DC35" s="371"/>
      <c r="DD35" s="371"/>
      <c r="DE35" s="371"/>
      <c r="DF35" s="371"/>
      <c r="DG35" s="371"/>
      <c r="DH35" s="371"/>
      <c r="DI35" s="371"/>
      <c r="DJ35" s="371"/>
      <c r="DK35" s="371"/>
      <c r="DL35" s="371"/>
      <c r="DM35" s="371"/>
      <c r="DN35" s="371"/>
      <c r="DO35" s="371"/>
      <c r="DP35" s="371"/>
      <c r="DQ35" s="371"/>
      <c r="DR35" s="371"/>
    </row>
    <row r="36" spans="1:122" ht="18.75" x14ac:dyDescent="0.3">
      <c r="A36" s="389"/>
      <c r="B36" s="390"/>
      <c r="C36" s="391" t="s">
        <v>986</v>
      </c>
      <c r="D36" s="392" t="s">
        <v>832</v>
      </c>
      <c r="E36" s="465"/>
      <c r="F36" s="394" t="s">
        <v>832</v>
      </c>
      <c r="G36" s="394"/>
      <c r="H36" s="394" t="s">
        <v>832</v>
      </c>
      <c r="I36" s="170"/>
      <c r="J36" s="438" t="s">
        <v>832</v>
      </c>
      <c r="K36" s="397"/>
      <c r="L36" s="438" t="s">
        <v>832</v>
      </c>
      <c r="M36" s="401"/>
      <c r="N36" s="400" t="s">
        <v>832</v>
      </c>
      <c r="O36" s="172"/>
      <c r="P36" s="400" t="s">
        <v>832</v>
      </c>
      <c r="Q36" s="401"/>
      <c r="R36" s="400" t="s">
        <v>832</v>
      </c>
      <c r="S36" s="451"/>
      <c r="T36" s="400" t="s">
        <v>832</v>
      </c>
      <c r="U36" s="404"/>
      <c r="V36" s="400" t="s">
        <v>832</v>
      </c>
      <c r="W36" s="406"/>
      <c r="X36" s="400" t="s">
        <v>832</v>
      </c>
      <c r="Y36" s="170"/>
      <c r="Z36" s="400" t="s">
        <v>832</v>
      </c>
      <c r="AA36" s="170"/>
      <c r="AB36" s="400" t="s">
        <v>832</v>
      </c>
      <c r="AC36" s="170"/>
      <c r="AD36" s="408" t="s">
        <v>832</v>
      </c>
      <c r="AE36" s="170"/>
      <c r="AF36" s="408" t="s">
        <v>832</v>
      </c>
      <c r="AG36" s="172"/>
      <c r="AH36" s="408" t="s">
        <v>832</v>
      </c>
      <c r="AI36" s="170"/>
      <c r="AJ36" s="408" t="s">
        <v>832</v>
      </c>
      <c r="AK36" s="409"/>
      <c r="AL36" s="408" t="s">
        <v>832</v>
      </c>
      <c r="AM36" s="170"/>
      <c r="AN36" s="438" t="s">
        <v>832</v>
      </c>
      <c r="AO36" s="172"/>
      <c r="AP36" s="408" t="s">
        <v>832</v>
      </c>
      <c r="AQ36" s="170"/>
      <c r="AR36" s="438" t="s">
        <v>832</v>
      </c>
      <c r="AS36" s="172"/>
      <c r="AT36" s="438" t="s">
        <v>832</v>
      </c>
      <c r="AU36" s="172"/>
      <c r="AV36" s="408" t="s">
        <v>832</v>
      </c>
      <c r="AW36" s="170"/>
      <c r="AX36" s="408" t="s">
        <v>832</v>
      </c>
      <c r="AY36" s="401"/>
      <c r="AZ36" s="408" t="s">
        <v>832</v>
      </c>
      <c r="BA36" s="401"/>
      <c r="BB36" s="408" t="s">
        <v>832</v>
      </c>
      <c r="BC36" s="170"/>
      <c r="BD36" s="408" t="s">
        <v>832</v>
      </c>
      <c r="BE36" s="401"/>
      <c r="BF36" s="407" t="s">
        <v>832</v>
      </c>
      <c r="BG36" s="170"/>
      <c r="BH36" s="408" t="s">
        <v>832</v>
      </c>
      <c r="BI36" s="170"/>
      <c r="BJ36" s="408" t="s">
        <v>832</v>
      </c>
      <c r="BK36" s="407"/>
      <c r="BL36" s="408" t="s">
        <v>832</v>
      </c>
      <c r="BM36" s="170"/>
      <c r="BN36" s="438" t="s">
        <v>832</v>
      </c>
      <c r="BO36" s="172"/>
      <c r="BP36" s="408" t="s">
        <v>832</v>
      </c>
      <c r="BQ36" s="419"/>
      <c r="BR36" s="407" t="s">
        <v>832</v>
      </c>
      <c r="BS36" s="170"/>
      <c r="BT36" s="408" t="s">
        <v>832</v>
      </c>
      <c r="BU36" s="170"/>
      <c r="BV36" s="408" t="s">
        <v>832</v>
      </c>
      <c r="BW36" s="170"/>
      <c r="BX36" s="438" t="s">
        <v>832</v>
      </c>
      <c r="BY36" s="172"/>
      <c r="BZ36" s="408" t="s">
        <v>832</v>
      </c>
      <c r="CA36" s="170"/>
      <c r="CB36" s="408" t="s">
        <v>832</v>
      </c>
      <c r="CC36" s="170"/>
      <c r="CD36" s="408" t="s">
        <v>832</v>
      </c>
      <c r="CE36" s="172"/>
      <c r="CF36" s="408" t="s">
        <v>832</v>
      </c>
      <c r="CG36" s="170"/>
      <c r="CH36" s="408" t="s">
        <v>832</v>
      </c>
      <c r="CI36" s="170"/>
      <c r="CJ36" s="408" t="s">
        <v>832</v>
      </c>
      <c r="CK36" s="170"/>
      <c r="CL36" s="408" t="s">
        <v>832</v>
      </c>
      <c r="CM36" s="170"/>
      <c r="CN36" s="408" t="s">
        <v>832</v>
      </c>
      <c r="CO36" s="170"/>
      <c r="CP36" s="408" t="s">
        <v>832</v>
      </c>
      <c r="CQ36" s="170"/>
      <c r="CR36" s="408" t="s">
        <v>832</v>
      </c>
      <c r="CS36" s="401"/>
      <c r="CT36" s="408" t="s">
        <v>832</v>
      </c>
      <c r="CU36" s="170"/>
      <c r="CV36" s="408" t="s">
        <v>832</v>
      </c>
      <c r="CW36" s="170"/>
      <c r="CX36" s="408" t="s">
        <v>832</v>
      </c>
      <c r="CY36" s="170"/>
      <c r="CZ36" s="408" t="s">
        <v>832</v>
      </c>
      <c r="DA36" s="172"/>
      <c r="DB36" s="397"/>
      <c r="DC36" s="397"/>
      <c r="DD36" s="397"/>
      <c r="DE36" s="397"/>
      <c r="DF36" s="397"/>
      <c r="DG36" s="397"/>
      <c r="DH36" s="397"/>
      <c r="DI36" s="397"/>
      <c r="DJ36" s="397"/>
      <c r="DK36" s="397"/>
      <c r="DL36" s="397"/>
      <c r="DM36" s="397"/>
      <c r="DN36" s="397"/>
      <c r="DO36" s="397"/>
      <c r="DP36" s="397"/>
      <c r="DQ36" s="397"/>
      <c r="DR36" s="397"/>
    </row>
    <row r="37" spans="1:122" ht="18.75" x14ac:dyDescent="0.3">
      <c r="A37" s="325">
        <v>485</v>
      </c>
      <c r="B37" s="326">
        <v>14</v>
      </c>
      <c r="C37" s="327" t="s">
        <v>987</v>
      </c>
      <c r="D37" s="424" t="s">
        <v>834</v>
      </c>
      <c r="E37" s="328"/>
      <c r="F37" s="173" t="s">
        <v>546</v>
      </c>
      <c r="G37" s="173"/>
      <c r="H37" s="425" t="s">
        <v>834</v>
      </c>
      <c r="I37" s="168"/>
      <c r="J37" s="173">
        <v>5.6</v>
      </c>
      <c r="K37" s="371" t="s">
        <v>988</v>
      </c>
      <c r="L37" s="426" t="s">
        <v>834</v>
      </c>
      <c r="M37" s="427"/>
      <c r="N37" s="173" t="s">
        <v>834</v>
      </c>
      <c r="O37" s="171"/>
      <c r="P37" s="385">
        <v>6.35</v>
      </c>
      <c r="Q37" s="427" t="s">
        <v>989</v>
      </c>
      <c r="R37" s="374" t="s">
        <v>834</v>
      </c>
      <c r="S37" s="444" t="s">
        <v>990</v>
      </c>
      <c r="T37" s="428" t="s">
        <v>834</v>
      </c>
      <c r="U37" s="463" t="s">
        <v>991</v>
      </c>
      <c r="V37" s="429" t="s">
        <v>834</v>
      </c>
      <c r="W37" s="377" t="s">
        <v>992</v>
      </c>
      <c r="X37" s="373">
        <v>4</v>
      </c>
      <c r="Y37" s="168" t="s">
        <v>993</v>
      </c>
      <c r="Z37" s="373">
        <v>4</v>
      </c>
      <c r="AA37" s="168" t="s">
        <v>994</v>
      </c>
      <c r="AB37" s="167" t="s">
        <v>834</v>
      </c>
      <c r="AC37" s="168"/>
      <c r="AD37" s="430" t="s">
        <v>834</v>
      </c>
      <c r="AE37" s="168"/>
      <c r="AF37" s="173" t="s">
        <v>834</v>
      </c>
      <c r="AG37" s="171"/>
      <c r="AH37" s="167" t="s">
        <v>834</v>
      </c>
      <c r="AI37" s="168"/>
      <c r="AJ37" s="373" t="s">
        <v>834</v>
      </c>
      <c r="AK37" s="431"/>
      <c r="AL37" s="167" t="s">
        <v>834</v>
      </c>
      <c r="AM37" s="168"/>
      <c r="AN37" s="173" t="s">
        <v>834</v>
      </c>
      <c r="AO37" s="171"/>
      <c r="AP37" s="432" t="s">
        <v>834</v>
      </c>
      <c r="AQ37" s="168"/>
      <c r="AR37" s="173" t="s">
        <v>834</v>
      </c>
      <c r="AS37" s="171"/>
      <c r="AT37" s="173" t="s">
        <v>834</v>
      </c>
      <c r="AU37" s="171"/>
      <c r="AV37" s="381" t="s">
        <v>834</v>
      </c>
      <c r="AW37" s="168"/>
      <c r="AX37" s="433" t="s">
        <v>834</v>
      </c>
      <c r="AY37" s="427"/>
      <c r="AZ37" s="167" t="s">
        <v>834</v>
      </c>
      <c r="BA37" s="427"/>
      <c r="BB37" s="164">
        <v>4.2249999999999996</v>
      </c>
      <c r="BC37" s="168"/>
      <c r="BD37" s="464" t="s">
        <v>546</v>
      </c>
      <c r="BE37" s="427"/>
      <c r="BF37" s="384" t="s">
        <v>834</v>
      </c>
      <c r="BG37" s="168"/>
      <c r="BH37" s="432" t="s">
        <v>995</v>
      </c>
      <c r="BI37" s="168" t="s">
        <v>996</v>
      </c>
      <c r="BJ37" s="167" t="s">
        <v>546</v>
      </c>
      <c r="BK37" s="167"/>
      <c r="BL37" s="167" t="s">
        <v>834</v>
      </c>
      <c r="BM37" s="168" t="s">
        <v>997</v>
      </c>
      <c r="BN37" s="173">
        <v>5.125</v>
      </c>
      <c r="BO37" s="171" t="s">
        <v>998</v>
      </c>
      <c r="BP37" s="466">
        <v>4</v>
      </c>
      <c r="BQ37" s="436"/>
      <c r="BR37" s="167" t="s">
        <v>834</v>
      </c>
      <c r="BS37" s="168"/>
      <c r="BT37" s="167" t="s">
        <v>834</v>
      </c>
      <c r="BU37" s="168"/>
      <c r="BV37" s="429">
        <v>5.75</v>
      </c>
      <c r="BW37" s="168"/>
      <c r="BX37" s="437">
        <v>4.5</v>
      </c>
      <c r="BY37" s="171" t="s">
        <v>999</v>
      </c>
      <c r="BZ37" s="432" t="s">
        <v>546</v>
      </c>
      <c r="CA37" s="168"/>
      <c r="CB37" s="167" t="s">
        <v>834</v>
      </c>
      <c r="CC37" s="168"/>
      <c r="CD37" s="173">
        <v>7</v>
      </c>
      <c r="CE37" s="171" t="s">
        <v>1000</v>
      </c>
      <c r="CF37" s="167" t="s">
        <v>834</v>
      </c>
      <c r="CG37" s="168"/>
      <c r="CH37" s="167">
        <v>4.5</v>
      </c>
      <c r="CI37" s="168"/>
      <c r="CJ37" s="167" t="s">
        <v>834</v>
      </c>
      <c r="CK37" s="168"/>
      <c r="CL37" s="385" t="s">
        <v>834</v>
      </c>
      <c r="CM37" s="168"/>
      <c r="CN37" s="385">
        <v>4.7</v>
      </c>
      <c r="CO37" s="168" t="s">
        <v>1001</v>
      </c>
      <c r="CP37" s="167" t="s">
        <v>834</v>
      </c>
      <c r="CQ37" s="168"/>
      <c r="CR37" s="373" t="s">
        <v>834</v>
      </c>
      <c r="CS37" s="427"/>
      <c r="CT37" s="164">
        <v>1.9259999999999999</v>
      </c>
      <c r="CU37" s="168" t="s">
        <v>1002</v>
      </c>
      <c r="CV37" s="432" t="s">
        <v>834</v>
      </c>
      <c r="CW37" s="168" t="s">
        <v>1003</v>
      </c>
      <c r="CX37" s="168" t="s">
        <v>834</v>
      </c>
      <c r="CY37" s="168"/>
      <c r="CZ37" s="173">
        <v>4</v>
      </c>
      <c r="DA37" s="171" t="s">
        <v>1004</v>
      </c>
      <c r="DB37" s="371" t="s">
        <v>546</v>
      </c>
      <c r="DC37" s="371">
        <f t="shared" ref="DC37:DC41" si="3">COUNT(D37:CZ37)</f>
        <v>14</v>
      </c>
      <c r="DD37" s="371"/>
      <c r="DE37" s="371"/>
      <c r="DF37" s="371"/>
      <c r="DG37" s="371"/>
      <c r="DH37" s="371"/>
      <c r="DI37" s="371"/>
      <c r="DJ37" s="371"/>
      <c r="DK37" s="371"/>
      <c r="DL37" s="371"/>
      <c r="DM37" s="371"/>
      <c r="DN37" s="371"/>
      <c r="DO37" s="371"/>
      <c r="DP37" s="371"/>
      <c r="DQ37" s="371"/>
      <c r="DR37" s="371"/>
    </row>
    <row r="38" spans="1:122" ht="18.75" x14ac:dyDescent="0.3">
      <c r="A38" s="325">
        <v>485113</v>
      </c>
      <c r="B38" s="326">
        <v>15</v>
      </c>
      <c r="C38" s="327" t="s">
        <v>1005</v>
      </c>
      <c r="D38" s="424" t="s">
        <v>834</v>
      </c>
      <c r="E38" s="328"/>
      <c r="F38" s="173" t="s">
        <v>546</v>
      </c>
      <c r="G38" s="173"/>
      <c r="H38" s="425" t="s">
        <v>834</v>
      </c>
      <c r="I38" s="168"/>
      <c r="J38" s="173" t="s">
        <v>834</v>
      </c>
      <c r="K38" s="371"/>
      <c r="L38" s="426" t="s">
        <v>834</v>
      </c>
      <c r="M38" s="427"/>
      <c r="N38" s="173" t="s">
        <v>834</v>
      </c>
      <c r="O38" s="171"/>
      <c r="P38" s="385" t="s">
        <v>834</v>
      </c>
      <c r="Q38" s="427"/>
      <c r="R38" s="374" t="s">
        <v>834</v>
      </c>
      <c r="S38" s="444" t="s">
        <v>990</v>
      </c>
      <c r="T38" s="428" t="s">
        <v>834</v>
      </c>
      <c r="U38" s="463" t="s">
        <v>991</v>
      </c>
      <c r="V38" s="429" t="s">
        <v>834</v>
      </c>
      <c r="W38" s="377" t="s">
        <v>992</v>
      </c>
      <c r="X38" s="373">
        <v>4</v>
      </c>
      <c r="Y38" s="168" t="s">
        <v>993</v>
      </c>
      <c r="Z38" s="373">
        <v>4</v>
      </c>
      <c r="AA38" s="168" t="s">
        <v>1006</v>
      </c>
      <c r="AB38" s="167" t="s">
        <v>834</v>
      </c>
      <c r="AC38" s="168"/>
      <c r="AD38" s="430" t="s">
        <v>834</v>
      </c>
      <c r="AE38" s="168"/>
      <c r="AF38" s="173" t="s">
        <v>834</v>
      </c>
      <c r="AG38" s="171"/>
      <c r="AH38" s="167" t="s">
        <v>834</v>
      </c>
      <c r="AI38" s="168" t="s">
        <v>546</v>
      </c>
      <c r="AJ38" s="373" t="s">
        <v>834</v>
      </c>
      <c r="AK38" s="431" t="s">
        <v>546</v>
      </c>
      <c r="AL38" s="167" t="s">
        <v>834</v>
      </c>
      <c r="AM38" s="168"/>
      <c r="AN38" s="173" t="s">
        <v>834</v>
      </c>
      <c r="AO38" s="171" t="s">
        <v>546</v>
      </c>
      <c r="AP38" s="432" t="s">
        <v>834</v>
      </c>
      <c r="AQ38" s="168"/>
      <c r="AR38" s="173" t="s">
        <v>834</v>
      </c>
      <c r="AS38" s="171"/>
      <c r="AT38" s="173" t="s">
        <v>834</v>
      </c>
      <c r="AU38" s="171"/>
      <c r="AV38" s="381" t="s">
        <v>834</v>
      </c>
      <c r="AW38" s="168"/>
      <c r="AX38" s="433" t="s">
        <v>834</v>
      </c>
      <c r="AY38" s="427"/>
      <c r="AZ38" s="167" t="s">
        <v>834</v>
      </c>
      <c r="BA38" s="427"/>
      <c r="BB38" s="164" t="s">
        <v>834</v>
      </c>
      <c r="BC38" s="168"/>
      <c r="BD38" s="464" t="s">
        <v>546</v>
      </c>
      <c r="BE38" s="427"/>
      <c r="BF38" s="384" t="s">
        <v>834</v>
      </c>
      <c r="BG38" s="168"/>
      <c r="BH38" s="432" t="s">
        <v>995</v>
      </c>
      <c r="BI38" s="168" t="s">
        <v>996</v>
      </c>
      <c r="BJ38" s="167" t="s">
        <v>546</v>
      </c>
      <c r="BK38" s="167"/>
      <c r="BL38" s="167" t="s">
        <v>834</v>
      </c>
      <c r="BM38" s="168"/>
      <c r="BN38" s="173">
        <v>5.125</v>
      </c>
      <c r="BO38" s="171" t="s">
        <v>1007</v>
      </c>
      <c r="BP38" s="435" t="s">
        <v>834</v>
      </c>
      <c r="BQ38" s="436"/>
      <c r="BR38" s="373" t="s">
        <v>834</v>
      </c>
      <c r="BS38" s="168" t="s">
        <v>1008</v>
      </c>
      <c r="BT38" s="167" t="s">
        <v>834</v>
      </c>
      <c r="BU38" s="168"/>
      <c r="BV38" s="167" t="s">
        <v>834</v>
      </c>
      <c r="BW38" s="168" t="s">
        <v>1009</v>
      </c>
      <c r="BX38" s="437" t="s">
        <v>834</v>
      </c>
      <c r="BY38" s="171"/>
      <c r="BZ38" s="432"/>
      <c r="CA38" s="168"/>
      <c r="CB38" s="167" t="s">
        <v>834</v>
      </c>
      <c r="CC38" s="168"/>
      <c r="CD38" s="173" t="s">
        <v>834</v>
      </c>
      <c r="CE38" s="171" t="s">
        <v>1010</v>
      </c>
      <c r="CF38" s="167" t="s">
        <v>834</v>
      </c>
      <c r="CG38" s="168"/>
      <c r="CH38" s="167" t="s">
        <v>834</v>
      </c>
      <c r="CI38" s="168"/>
      <c r="CJ38" s="167" t="s">
        <v>834</v>
      </c>
      <c r="CK38" s="168"/>
      <c r="CL38" s="385" t="s">
        <v>834</v>
      </c>
      <c r="CM38" s="168"/>
      <c r="CN38" s="385" t="s">
        <v>834</v>
      </c>
      <c r="CO38" s="168"/>
      <c r="CP38" s="167" t="s">
        <v>834</v>
      </c>
      <c r="CQ38" s="168"/>
      <c r="CR38" s="373" t="s">
        <v>834</v>
      </c>
      <c r="CS38" s="427"/>
      <c r="CT38" s="164">
        <v>0.64200000000000002</v>
      </c>
      <c r="CU38" s="168" t="s">
        <v>1011</v>
      </c>
      <c r="CV38" s="432" t="s">
        <v>834</v>
      </c>
      <c r="CW38" s="168" t="s">
        <v>1003</v>
      </c>
      <c r="CX38" s="168" t="s">
        <v>834</v>
      </c>
      <c r="CY38" s="168"/>
      <c r="CZ38" s="173">
        <v>4</v>
      </c>
      <c r="DA38" s="171" t="s">
        <v>1004</v>
      </c>
      <c r="DB38" s="371" t="s">
        <v>546</v>
      </c>
      <c r="DC38" s="371">
        <f t="shared" si="3"/>
        <v>5</v>
      </c>
      <c r="DD38" s="371"/>
      <c r="DE38" s="371"/>
      <c r="DF38" s="371"/>
      <c r="DG38" s="371"/>
      <c r="DH38" s="371"/>
      <c r="DI38" s="371"/>
      <c r="DJ38" s="371"/>
      <c r="DK38" s="371"/>
      <c r="DL38" s="371"/>
      <c r="DM38" s="371"/>
      <c r="DN38" s="371"/>
      <c r="DO38" s="371"/>
      <c r="DP38" s="371"/>
      <c r="DQ38" s="371"/>
      <c r="DR38" s="371"/>
    </row>
    <row r="39" spans="1:122" ht="18.75" x14ac:dyDescent="0.3">
      <c r="A39" s="325">
        <v>48531</v>
      </c>
      <c r="B39" s="326">
        <v>16</v>
      </c>
      <c r="C39" s="327" t="s">
        <v>1012</v>
      </c>
      <c r="D39" s="424" t="s">
        <v>834</v>
      </c>
      <c r="E39" s="328"/>
      <c r="F39" s="173" t="s">
        <v>546</v>
      </c>
      <c r="G39" s="173"/>
      <c r="H39" s="425" t="s">
        <v>834</v>
      </c>
      <c r="I39" s="168"/>
      <c r="J39" s="173">
        <v>5.6</v>
      </c>
      <c r="K39" s="371" t="s">
        <v>1013</v>
      </c>
      <c r="L39" s="426" t="s">
        <v>834</v>
      </c>
      <c r="M39" s="427"/>
      <c r="N39" s="173" t="s">
        <v>834</v>
      </c>
      <c r="O39" s="171"/>
      <c r="P39" s="385" t="s">
        <v>834</v>
      </c>
      <c r="Q39" s="427"/>
      <c r="R39" s="374" t="s">
        <v>834</v>
      </c>
      <c r="S39" s="444" t="s">
        <v>990</v>
      </c>
      <c r="T39" s="428" t="s">
        <v>834</v>
      </c>
      <c r="U39" s="463" t="s">
        <v>991</v>
      </c>
      <c r="V39" s="429" t="s">
        <v>834</v>
      </c>
      <c r="W39" s="377" t="s">
        <v>992</v>
      </c>
      <c r="X39" s="167">
        <v>4</v>
      </c>
      <c r="Y39" s="168"/>
      <c r="Z39" s="167">
        <v>4</v>
      </c>
      <c r="AA39" s="168"/>
      <c r="AB39" s="167" t="s">
        <v>834</v>
      </c>
      <c r="AC39" s="168"/>
      <c r="AD39" s="430" t="s">
        <v>834</v>
      </c>
      <c r="AE39" s="168"/>
      <c r="AF39" s="173" t="s">
        <v>834</v>
      </c>
      <c r="AG39" s="171"/>
      <c r="AH39" s="167" t="s">
        <v>834</v>
      </c>
      <c r="AI39" s="453" t="s">
        <v>1014</v>
      </c>
      <c r="AJ39" s="373" t="s">
        <v>834</v>
      </c>
      <c r="AK39" s="431"/>
      <c r="AL39" s="167" t="s">
        <v>834</v>
      </c>
      <c r="AM39" s="168"/>
      <c r="AN39" s="173" t="s">
        <v>834</v>
      </c>
      <c r="AO39" s="171"/>
      <c r="AP39" s="432" t="s">
        <v>834</v>
      </c>
      <c r="AQ39" s="168"/>
      <c r="AR39" s="173" t="s">
        <v>834</v>
      </c>
      <c r="AS39" s="171"/>
      <c r="AT39" s="173" t="s">
        <v>834</v>
      </c>
      <c r="AU39" s="171"/>
      <c r="AV39" s="381" t="s">
        <v>834</v>
      </c>
      <c r="AW39" s="168"/>
      <c r="AX39" s="433" t="s">
        <v>834</v>
      </c>
      <c r="AY39" s="427"/>
      <c r="AZ39" s="167" t="s">
        <v>834</v>
      </c>
      <c r="BA39" s="427"/>
      <c r="BB39" s="164" t="s">
        <v>834</v>
      </c>
      <c r="BC39" s="168"/>
      <c r="BD39" s="464" t="s">
        <v>546</v>
      </c>
      <c r="BE39" s="427"/>
      <c r="BF39" s="384" t="s">
        <v>834</v>
      </c>
      <c r="BG39" s="168"/>
      <c r="BH39" s="432" t="s">
        <v>995</v>
      </c>
      <c r="BI39" s="168" t="s">
        <v>996</v>
      </c>
      <c r="BJ39" s="167" t="s">
        <v>546</v>
      </c>
      <c r="BK39" s="167"/>
      <c r="BL39" s="167" t="s">
        <v>834</v>
      </c>
      <c r="BM39" s="168"/>
      <c r="BN39" s="173">
        <v>5.125</v>
      </c>
      <c r="BO39" s="171" t="s">
        <v>1015</v>
      </c>
      <c r="BP39" s="435" t="s">
        <v>834</v>
      </c>
      <c r="BQ39" s="436"/>
      <c r="BR39" s="167" t="s">
        <v>834</v>
      </c>
      <c r="BS39" s="168"/>
      <c r="BT39" s="167" t="s">
        <v>834</v>
      </c>
      <c r="BU39" s="168"/>
      <c r="BV39" s="429">
        <v>5.75</v>
      </c>
      <c r="BW39" s="168"/>
      <c r="BX39" s="437" t="s">
        <v>834</v>
      </c>
      <c r="BY39" s="171"/>
      <c r="BZ39" s="432"/>
      <c r="CA39" s="168"/>
      <c r="CB39" s="167" t="s">
        <v>834</v>
      </c>
      <c r="CC39" s="168"/>
      <c r="CD39" s="173">
        <v>7</v>
      </c>
      <c r="CE39" s="171"/>
      <c r="CF39" s="167" t="s">
        <v>834</v>
      </c>
      <c r="CG39" s="168"/>
      <c r="CH39" s="167">
        <v>4.5</v>
      </c>
      <c r="CI39" s="168"/>
      <c r="CJ39" s="167" t="s">
        <v>834</v>
      </c>
      <c r="CK39" s="168"/>
      <c r="CL39" s="385" t="s">
        <v>834</v>
      </c>
      <c r="CM39" s="168"/>
      <c r="CN39" s="385" t="s">
        <v>834</v>
      </c>
      <c r="CO39" s="168"/>
      <c r="CP39" s="167" t="s">
        <v>834</v>
      </c>
      <c r="CQ39" s="168"/>
      <c r="CR39" s="373" t="s">
        <v>834</v>
      </c>
      <c r="CS39" s="427"/>
      <c r="CT39" s="164">
        <v>0.64200000000000002</v>
      </c>
      <c r="CU39" s="168" t="s">
        <v>1011</v>
      </c>
      <c r="CV39" s="432" t="s">
        <v>834</v>
      </c>
      <c r="CW39" s="168" t="s">
        <v>1003</v>
      </c>
      <c r="CX39" s="168" t="s">
        <v>834</v>
      </c>
      <c r="CY39" s="168"/>
      <c r="CZ39" s="173">
        <v>4</v>
      </c>
      <c r="DA39" s="171" t="s">
        <v>1004</v>
      </c>
      <c r="DB39" s="371" t="s">
        <v>546</v>
      </c>
      <c r="DC39" s="371">
        <f t="shared" si="3"/>
        <v>9</v>
      </c>
      <c r="DD39" s="371"/>
      <c r="DE39" s="371"/>
      <c r="DF39" s="371"/>
      <c r="DG39" s="371"/>
      <c r="DH39" s="371"/>
      <c r="DI39" s="371"/>
      <c r="DJ39" s="371"/>
      <c r="DK39" s="371"/>
      <c r="DL39" s="371"/>
      <c r="DM39" s="371"/>
      <c r="DN39" s="371"/>
      <c r="DO39" s="371"/>
      <c r="DP39" s="371"/>
      <c r="DQ39" s="371"/>
      <c r="DR39" s="371"/>
    </row>
    <row r="40" spans="1:122" ht="18.75" x14ac:dyDescent="0.3">
      <c r="A40" s="325">
        <v>492</v>
      </c>
      <c r="B40" s="326">
        <v>17</v>
      </c>
      <c r="C40" s="327" t="s">
        <v>1016</v>
      </c>
      <c r="D40" s="424" t="s">
        <v>834</v>
      </c>
      <c r="E40" s="328"/>
      <c r="F40" s="173"/>
      <c r="G40" s="173"/>
      <c r="H40" s="425" t="s">
        <v>834</v>
      </c>
      <c r="I40" s="168"/>
      <c r="J40" s="173">
        <v>5.6</v>
      </c>
      <c r="K40" s="371" t="s">
        <v>1013</v>
      </c>
      <c r="L40" s="426" t="s">
        <v>834</v>
      </c>
      <c r="M40" s="427" t="s">
        <v>1017</v>
      </c>
      <c r="N40" s="173" t="s">
        <v>834</v>
      </c>
      <c r="O40" s="171"/>
      <c r="P40" s="385" t="s">
        <v>834</v>
      </c>
      <c r="Q40" s="427" t="s">
        <v>1018</v>
      </c>
      <c r="R40" s="374">
        <v>0.39800000000000002</v>
      </c>
      <c r="S40" s="168" t="s">
        <v>837</v>
      </c>
      <c r="T40" s="428">
        <v>5.75</v>
      </c>
      <c r="U40" s="376" t="s">
        <v>1019</v>
      </c>
      <c r="V40" s="429" t="s">
        <v>834</v>
      </c>
      <c r="W40" s="377" t="s">
        <v>992</v>
      </c>
      <c r="X40" s="167" t="s">
        <v>834</v>
      </c>
      <c r="Y40" s="168"/>
      <c r="Z40" s="167">
        <v>4</v>
      </c>
      <c r="AA40" s="168" t="s">
        <v>1020</v>
      </c>
      <c r="AB40" s="167" t="s">
        <v>834</v>
      </c>
      <c r="AC40" s="168"/>
      <c r="AD40" s="430" t="s">
        <v>834</v>
      </c>
      <c r="AE40" s="168"/>
      <c r="AF40" s="173" t="s">
        <v>834</v>
      </c>
      <c r="AG40" s="171"/>
      <c r="AH40" s="167" t="s">
        <v>834</v>
      </c>
      <c r="AI40" s="168"/>
      <c r="AJ40" s="373" t="s">
        <v>834</v>
      </c>
      <c r="AK40" s="431"/>
      <c r="AL40" s="167" t="s">
        <v>834</v>
      </c>
      <c r="AM40" s="168"/>
      <c r="AN40" s="173" t="s">
        <v>834</v>
      </c>
      <c r="AO40" s="171"/>
      <c r="AP40" s="432" t="s">
        <v>834</v>
      </c>
      <c r="AQ40" s="168"/>
      <c r="AR40" s="173" t="s">
        <v>834</v>
      </c>
      <c r="AS40" s="171"/>
      <c r="AT40" s="173" t="s">
        <v>834</v>
      </c>
      <c r="AU40" s="171"/>
      <c r="AV40" s="381" t="s">
        <v>834</v>
      </c>
      <c r="AW40" s="168"/>
      <c r="AX40" s="433" t="s">
        <v>834</v>
      </c>
      <c r="AY40" s="427"/>
      <c r="AZ40" s="167" t="s">
        <v>834</v>
      </c>
      <c r="BA40" s="427"/>
      <c r="BB40" s="164" t="s">
        <v>834</v>
      </c>
      <c r="BC40" s="168"/>
      <c r="BD40" s="464" t="s">
        <v>546</v>
      </c>
      <c r="BE40" s="427"/>
      <c r="BF40" s="384" t="s">
        <v>834</v>
      </c>
      <c r="BG40" s="168"/>
      <c r="BH40" s="432" t="s">
        <v>834</v>
      </c>
      <c r="BI40" s="168"/>
      <c r="BJ40" s="167"/>
      <c r="BK40" s="167"/>
      <c r="BL40" s="167" t="s">
        <v>834</v>
      </c>
      <c r="BM40" s="168"/>
      <c r="BN40" s="173">
        <v>5.125</v>
      </c>
      <c r="BO40" s="171" t="s">
        <v>1021</v>
      </c>
      <c r="BP40" s="435" t="s">
        <v>834</v>
      </c>
      <c r="BQ40" s="436" t="s">
        <v>1022</v>
      </c>
      <c r="BR40" s="167" t="s">
        <v>834</v>
      </c>
      <c r="BS40" s="168"/>
      <c r="BT40" s="167" t="s">
        <v>834</v>
      </c>
      <c r="BU40" s="168"/>
      <c r="BV40" s="167" t="s">
        <v>834</v>
      </c>
      <c r="BW40" s="168"/>
      <c r="BX40" s="437" t="s">
        <v>834</v>
      </c>
      <c r="BY40" s="171"/>
      <c r="BZ40" s="432"/>
      <c r="CA40" s="168"/>
      <c r="CB40" s="167" t="s">
        <v>834</v>
      </c>
      <c r="CC40" s="168" t="s">
        <v>1023</v>
      </c>
      <c r="CD40" s="173" t="s">
        <v>834</v>
      </c>
      <c r="CE40" s="171"/>
      <c r="CF40" s="167" t="s">
        <v>834</v>
      </c>
      <c r="CG40" s="168"/>
      <c r="CH40" s="167" t="s">
        <v>834</v>
      </c>
      <c r="CI40" s="168"/>
      <c r="CJ40" s="167" t="s">
        <v>834</v>
      </c>
      <c r="CK40" s="168"/>
      <c r="CL40" s="467" t="s">
        <v>834</v>
      </c>
      <c r="CM40" s="461" t="s">
        <v>1024</v>
      </c>
      <c r="CN40" s="385" t="s">
        <v>834</v>
      </c>
      <c r="CO40" s="168"/>
      <c r="CP40" s="167" t="s">
        <v>834</v>
      </c>
      <c r="CQ40" s="168"/>
      <c r="CR40" s="373" t="s">
        <v>834</v>
      </c>
      <c r="CS40" s="427"/>
      <c r="CT40" s="164">
        <v>1.9259999999999999</v>
      </c>
      <c r="CU40" s="168" t="s">
        <v>1002</v>
      </c>
      <c r="CV40" s="432" t="s">
        <v>834</v>
      </c>
      <c r="CW40" s="168" t="s">
        <v>1003</v>
      </c>
      <c r="CX40" s="168" t="s">
        <v>834</v>
      </c>
      <c r="CY40" s="168"/>
      <c r="CZ40" s="173" t="s">
        <v>834</v>
      </c>
      <c r="DA40" s="171" t="s">
        <v>1025</v>
      </c>
      <c r="DB40" s="371" t="s">
        <v>546</v>
      </c>
      <c r="DC40" s="371">
        <f t="shared" si="3"/>
        <v>6</v>
      </c>
      <c r="DD40" s="371"/>
      <c r="DE40" s="371"/>
      <c r="DF40" s="371"/>
      <c r="DG40" s="371"/>
      <c r="DH40" s="371"/>
      <c r="DI40" s="371"/>
      <c r="DJ40" s="371"/>
      <c r="DK40" s="371"/>
      <c r="DL40" s="371"/>
      <c r="DM40" s="371"/>
      <c r="DN40" s="371"/>
      <c r="DO40" s="371"/>
      <c r="DP40" s="371"/>
      <c r="DQ40" s="371"/>
      <c r="DR40" s="371"/>
    </row>
    <row r="41" spans="1:122" ht="18.75" x14ac:dyDescent="0.3">
      <c r="A41" s="325">
        <v>492</v>
      </c>
      <c r="B41" s="326">
        <v>18</v>
      </c>
      <c r="C41" s="327" t="s">
        <v>1026</v>
      </c>
      <c r="D41" s="424" t="s">
        <v>834</v>
      </c>
      <c r="E41" s="328"/>
      <c r="F41" s="173"/>
      <c r="G41" s="173"/>
      <c r="H41" s="425" t="s">
        <v>834</v>
      </c>
      <c r="I41" s="168"/>
      <c r="J41" s="173" t="s">
        <v>834</v>
      </c>
      <c r="K41" s="371"/>
      <c r="L41" s="426" t="s">
        <v>834</v>
      </c>
      <c r="M41" s="427"/>
      <c r="N41" s="173" t="s">
        <v>834</v>
      </c>
      <c r="O41" s="171"/>
      <c r="P41" s="385" t="s">
        <v>834</v>
      </c>
      <c r="Q41" s="427"/>
      <c r="R41" s="374" t="s">
        <v>834</v>
      </c>
      <c r="S41" s="168"/>
      <c r="T41" s="428" t="s">
        <v>834</v>
      </c>
      <c r="U41" s="376"/>
      <c r="V41" s="429" t="s">
        <v>834</v>
      </c>
      <c r="W41" s="377" t="s">
        <v>992</v>
      </c>
      <c r="X41" s="167" t="s">
        <v>834</v>
      </c>
      <c r="Y41" s="168"/>
      <c r="Z41" s="167" t="s">
        <v>834</v>
      </c>
      <c r="AA41" s="168" t="s">
        <v>1027</v>
      </c>
      <c r="AB41" s="167" t="s">
        <v>834</v>
      </c>
      <c r="AC41" s="168"/>
      <c r="AD41" s="430" t="s">
        <v>834</v>
      </c>
      <c r="AE41" s="168"/>
      <c r="AF41" s="173" t="s">
        <v>834</v>
      </c>
      <c r="AG41" s="171"/>
      <c r="AH41" s="167" t="s">
        <v>834</v>
      </c>
      <c r="AI41" s="168"/>
      <c r="AJ41" s="373" t="s">
        <v>834</v>
      </c>
      <c r="AK41" s="431"/>
      <c r="AL41" s="167" t="s">
        <v>834</v>
      </c>
      <c r="AM41" s="168"/>
      <c r="AN41" s="173" t="s">
        <v>834</v>
      </c>
      <c r="AO41" s="171"/>
      <c r="AP41" s="432" t="s">
        <v>834</v>
      </c>
      <c r="AQ41" s="168"/>
      <c r="AR41" s="173" t="s">
        <v>834</v>
      </c>
      <c r="AS41" s="171"/>
      <c r="AT41" s="173" t="s">
        <v>834</v>
      </c>
      <c r="AU41" s="171"/>
      <c r="AV41" s="381" t="s">
        <v>834</v>
      </c>
      <c r="AW41" s="168"/>
      <c r="AX41" s="433" t="s">
        <v>834</v>
      </c>
      <c r="AY41" s="427"/>
      <c r="AZ41" s="167" t="s">
        <v>834</v>
      </c>
      <c r="BA41" s="427"/>
      <c r="BB41" s="164" t="s">
        <v>834</v>
      </c>
      <c r="BC41" s="168"/>
      <c r="BD41" s="464" t="s">
        <v>546</v>
      </c>
      <c r="BE41" s="427"/>
      <c r="BF41" s="384" t="s">
        <v>834</v>
      </c>
      <c r="BG41" s="168"/>
      <c r="BH41" s="432" t="s">
        <v>834</v>
      </c>
      <c r="BI41" s="168"/>
      <c r="BJ41" s="167"/>
      <c r="BK41" s="167"/>
      <c r="BL41" s="167" t="s">
        <v>834</v>
      </c>
      <c r="BM41" s="168"/>
      <c r="BN41" s="173" t="s">
        <v>834</v>
      </c>
      <c r="BO41" s="171"/>
      <c r="BP41" s="435" t="s">
        <v>834</v>
      </c>
      <c r="BQ41" s="436"/>
      <c r="BR41" s="167" t="s">
        <v>834</v>
      </c>
      <c r="BS41" s="168"/>
      <c r="BT41" s="167" t="s">
        <v>834</v>
      </c>
      <c r="BU41" s="168"/>
      <c r="BV41" s="167" t="s">
        <v>834</v>
      </c>
      <c r="BW41" s="168"/>
      <c r="BX41" s="437" t="s">
        <v>834</v>
      </c>
      <c r="BY41" s="171"/>
      <c r="BZ41" s="432"/>
      <c r="CA41" s="168"/>
      <c r="CB41" s="167" t="s">
        <v>834</v>
      </c>
      <c r="CC41" s="168"/>
      <c r="CD41" s="173" t="s">
        <v>834</v>
      </c>
      <c r="CE41" s="171"/>
      <c r="CF41" s="167" t="s">
        <v>834</v>
      </c>
      <c r="CG41" s="168"/>
      <c r="CH41" s="167" t="s">
        <v>834</v>
      </c>
      <c r="CI41" s="168"/>
      <c r="CJ41" s="167" t="s">
        <v>834</v>
      </c>
      <c r="CK41" s="168"/>
      <c r="CL41" s="467" t="s">
        <v>834</v>
      </c>
      <c r="CM41" s="461" t="s">
        <v>1024</v>
      </c>
      <c r="CN41" s="385" t="s">
        <v>834</v>
      </c>
      <c r="CO41" s="168"/>
      <c r="CP41" s="167" t="s">
        <v>834</v>
      </c>
      <c r="CQ41" s="168"/>
      <c r="CR41" s="373" t="s">
        <v>834</v>
      </c>
      <c r="CS41" s="427"/>
      <c r="CT41" s="432" t="s">
        <v>834</v>
      </c>
      <c r="CU41" s="168"/>
      <c r="CV41" s="432" t="s">
        <v>834</v>
      </c>
      <c r="CW41" s="168" t="s">
        <v>1003</v>
      </c>
      <c r="CX41" s="168" t="s">
        <v>834</v>
      </c>
      <c r="CY41" s="168"/>
      <c r="CZ41" s="173" t="s">
        <v>834</v>
      </c>
      <c r="DA41" s="171" t="s">
        <v>1025</v>
      </c>
      <c r="DB41" s="371" t="s">
        <v>546</v>
      </c>
      <c r="DC41" s="371">
        <f t="shared" si="3"/>
        <v>0</v>
      </c>
      <c r="DD41" s="371"/>
      <c r="DE41" s="371"/>
      <c r="DF41" s="371"/>
      <c r="DG41" s="371"/>
      <c r="DH41" s="371"/>
      <c r="DI41" s="371"/>
      <c r="DJ41" s="371"/>
      <c r="DK41" s="371"/>
      <c r="DL41" s="371"/>
      <c r="DM41" s="371"/>
      <c r="DN41" s="371"/>
      <c r="DO41" s="371"/>
      <c r="DP41" s="371"/>
      <c r="DQ41" s="371"/>
      <c r="DR41" s="371"/>
    </row>
    <row r="42" spans="1:122" ht="18.75" x14ac:dyDescent="0.3">
      <c r="A42" s="325"/>
      <c r="B42" s="326"/>
      <c r="C42" s="327"/>
      <c r="D42" s="424"/>
      <c r="E42" s="328"/>
      <c r="F42" s="173"/>
      <c r="G42" s="173"/>
      <c r="H42" s="425"/>
      <c r="I42" s="168"/>
      <c r="J42" s="173"/>
      <c r="K42" s="371"/>
      <c r="L42" s="426"/>
      <c r="M42" s="427"/>
      <c r="N42" s="173"/>
      <c r="O42" s="171"/>
      <c r="P42" s="385"/>
      <c r="Q42" s="427"/>
      <c r="R42" s="374"/>
      <c r="S42" s="168"/>
      <c r="T42" s="428"/>
      <c r="U42" s="376"/>
      <c r="V42" s="429"/>
      <c r="W42" s="377"/>
      <c r="X42" s="167"/>
      <c r="Y42" s="168"/>
      <c r="Z42" s="167"/>
      <c r="AA42" s="168"/>
      <c r="AB42" s="167"/>
      <c r="AC42" s="168"/>
      <c r="AD42" s="430" t="s">
        <v>546</v>
      </c>
      <c r="AE42" s="168"/>
      <c r="AF42" s="173"/>
      <c r="AG42" s="171"/>
      <c r="AH42" s="167"/>
      <c r="AI42" s="168"/>
      <c r="AJ42" s="373"/>
      <c r="AK42" s="431"/>
      <c r="AL42" s="167"/>
      <c r="AM42" s="168"/>
      <c r="AN42" s="173"/>
      <c r="AO42" s="171"/>
      <c r="AP42" s="432"/>
      <c r="AQ42" s="168"/>
      <c r="AR42" s="173"/>
      <c r="AS42" s="171"/>
      <c r="AT42" s="173"/>
      <c r="AU42" s="171"/>
      <c r="AV42" s="381"/>
      <c r="AW42" s="168"/>
      <c r="AX42" s="433"/>
      <c r="AY42" s="427"/>
      <c r="AZ42" s="167"/>
      <c r="BA42" s="427"/>
      <c r="BB42" s="164"/>
      <c r="BC42" s="168"/>
      <c r="BD42" s="464"/>
      <c r="BE42" s="427"/>
      <c r="BF42" s="384"/>
      <c r="BG42" s="168"/>
      <c r="BH42" s="432"/>
      <c r="BI42" s="168"/>
      <c r="BJ42" s="167"/>
      <c r="BK42" s="167"/>
      <c r="BL42" s="167"/>
      <c r="BM42" s="168"/>
      <c r="BN42" s="173"/>
      <c r="BO42" s="171"/>
      <c r="BP42" s="435"/>
      <c r="BQ42" s="436"/>
      <c r="BR42" s="167"/>
      <c r="BS42" s="168"/>
      <c r="BT42" s="167"/>
      <c r="BU42" s="168"/>
      <c r="BV42" s="167"/>
      <c r="BW42" s="168"/>
      <c r="BX42" s="437"/>
      <c r="BY42" s="171"/>
      <c r="BZ42" s="432"/>
      <c r="CA42" s="168"/>
      <c r="CB42" s="167"/>
      <c r="CC42" s="168"/>
      <c r="CD42" s="173"/>
      <c r="CE42" s="171"/>
      <c r="CF42" s="167"/>
      <c r="CG42" s="168"/>
      <c r="CH42" s="167"/>
      <c r="CI42" s="168"/>
      <c r="CJ42" s="167"/>
      <c r="CK42" s="168"/>
      <c r="CL42" s="385"/>
      <c r="CM42" s="168"/>
      <c r="CN42" s="385"/>
      <c r="CO42" s="168"/>
      <c r="CP42" s="167"/>
      <c r="CQ42" s="168"/>
      <c r="CR42" s="373"/>
      <c r="CS42" s="427"/>
      <c r="CT42" s="432"/>
      <c r="CU42" s="168"/>
      <c r="CV42" s="432"/>
      <c r="CW42" s="168"/>
      <c r="CX42" s="168"/>
      <c r="CY42" s="168"/>
      <c r="CZ42" s="173"/>
      <c r="DA42" s="171"/>
      <c r="DB42" s="371"/>
      <c r="DC42" s="371"/>
      <c r="DD42" s="371"/>
      <c r="DE42" s="371"/>
      <c r="DF42" s="371"/>
      <c r="DG42" s="371"/>
      <c r="DH42" s="371"/>
      <c r="DI42" s="371"/>
      <c r="DJ42" s="371"/>
      <c r="DK42" s="371"/>
      <c r="DL42" s="371"/>
      <c r="DM42" s="371"/>
      <c r="DN42" s="371"/>
      <c r="DO42" s="371"/>
      <c r="DP42" s="371"/>
      <c r="DQ42" s="371"/>
      <c r="DR42" s="371"/>
    </row>
    <row r="43" spans="1:122" ht="18.75" x14ac:dyDescent="0.3">
      <c r="A43" s="389"/>
      <c r="B43" s="390"/>
      <c r="C43" s="391" t="s">
        <v>1028</v>
      </c>
      <c r="D43" s="392" t="s">
        <v>832</v>
      </c>
      <c r="E43" s="393"/>
      <c r="F43" s="394" t="s">
        <v>832</v>
      </c>
      <c r="G43" s="394"/>
      <c r="H43" s="394" t="s">
        <v>832</v>
      </c>
      <c r="I43" s="170"/>
      <c r="J43" s="438" t="s">
        <v>832</v>
      </c>
      <c r="K43" s="397"/>
      <c r="L43" s="438" t="s">
        <v>832</v>
      </c>
      <c r="M43" s="401"/>
      <c r="N43" s="400" t="s">
        <v>832</v>
      </c>
      <c r="O43" s="172"/>
      <c r="P43" s="400" t="s">
        <v>832</v>
      </c>
      <c r="Q43" s="401"/>
      <c r="R43" s="400" t="s">
        <v>832</v>
      </c>
      <c r="S43" s="170"/>
      <c r="T43" s="400" t="s">
        <v>832</v>
      </c>
      <c r="U43" s="404"/>
      <c r="V43" s="400" t="s">
        <v>832</v>
      </c>
      <c r="W43" s="406"/>
      <c r="X43" s="400" t="s">
        <v>832</v>
      </c>
      <c r="Y43" s="170"/>
      <c r="Z43" s="400" t="s">
        <v>832</v>
      </c>
      <c r="AA43" s="170"/>
      <c r="AB43" s="400" t="s">
        <v>832</v>
      </c>
      <c r="AC43" s="170"/>
      <c r="AD43" s="408" t="s">
        <v>832</v>
      </c>
      <c r="AE43" s="170"/>
      <c r="AF43" s="408" t="s">
        <v>832</v>
      </c>
      <c r="AG43" s="172"/>
      <c r="AH43" s="408" t="s">
        <v>832</v>
      </c>
      <c r="AI43" s="170"/>
      <c r="AJ43" s="408" t="s">
        <v>832</v>
      </c>
      <c r="AK43" s="409"/>
      <c r="AL43" s="408" t="s">
        <v>832</v>
      </c>
      <c r="AM43" s="170"/>
      <c r="AN43" s="438" t="s">
        <v>832</v>
      </c>
      <c r="AO43" s="172"/>
      <c r="AP43" s="408" t="s">
        <v>832</v>
      </c>
      <c r="AQ43" s="170"/>
      <c r="AR43" s="438" t="s">
        <v>832</v>
      </c>
      <c r="AS43" s="172"/>
      <c r="AT43" s="438" t="s">
        <v>832</v>
      </c>
      <c r="AU43" s="172"/>
      <c r="AV43" s="408" t="s">
        <v>832</v>
      </c>
      <c r="AW43" s="170"/>
      <c r="AX43" s="408" t="s">
        <v>832</v>
      </c>
      <c r="AY43" s="401"/>
      <c r="AZ43" s="408" t="s">
        <v>832</v>
      </c>
      <c r="BA43" s="468"/>
      <c r="BB43" s="408" t="s">
        <v>832</v>
      </c>
      <c r="BC43" s="170"/>
      <c r="BD43" s="408" t="s">
        <v>832</v>
      </c>
      <c r="BE43" s="401"/>
      <c r="BF43" s="407" t="s">
        <v>832</v>
      </c>
      <c r="BG43" s="170"/>
      <c r="BH43" s="408" t="s">
        <v>832</v>
      </c>
      <c r="BI43" s="170"/>
      <c r="BJ43" s="408" t="s">
        <v>832</v>
      </c>
      <c r="BK43" s="407"/>
      <c r="BL43" s="408" t="s">
        <v>832</v>
      </c>
      <c r="BM43" s="170"/>
      <c r="BN43" s="438" t="s">
        <v>832</v>
      </c>
      <c r="BO43" s="172"/>
      <c r="BP43" s="408" t="s">
        <v>832</v>
      </c>
      <c r="BQ43" s="419"/>
      <c r="BR43" s="407" t="s">
        <v>832</v>
      </c>
      <c r="BS43" s="170"/>
      <c r="BT43" s="408" t="s">
        <v>832</v>
      </c>
      <c r="BU43" s="170"/>
      <c r="BV43" s="408" t="s">
        <v>832</v>
      </c>
      <c r="BW43" s="170"/>
      <c r="BX43" s="438" t="s">
        <v>832</v>
      </c>
      <c r="BY43" s="172"/>
      <c r="BZ43" s="408" t="s">
        <v>832</v>
      </c>
      <c r="CA43" s="170"/>
      <c r="CB43" s="408" t="s">
        <v>832</v>
      </c>
      <c r="CC43" s="170"/>
      <c r="CD43" s="408" t="s">
        <v>832</v>
      </c>
      <c r="CE43" s="172"/>
      <c r="CF43" s="408" t="s">
        <v>832</v>
      </c>
      <c r="CG43" s="170"/>
      <c r="CH43" s="408" t="s">
        <v>832</v>
      </c>
      <c r="CI43" s="170"/>
      <c r="CJ43" s="408" t="s">
        <v>832</v>
      </c>
      <c r="CK43" s="170"/>
      <c r="CL43" s="408" t="s">
        <v>832</v>
      </c>
      <c r="CM43" s="170"/>
      <c r="CN43" s="408" t="s">
        <v>832</v>
      </c>
      <c r="CO43" s="170"/>
      <c r="CP43" s="408" t="s">
        <v>832</v>
      </c>
      <c r="CQ43" s="170"/>
      <c r="CR43" s="408" t="s">
        <v>832</v>
      </c>
      <c r="CS43" s="401"/>
      <c r="CT43" s="408" t="s">
        <v>832</v>
      </c>
      <c r="CU43" s="170"/>
      <c r="CV43" s="408" t="s">
        <v>832</v>
      </c>
      <c r="CW43" s="170"/>
      <c r="CX43" s="408" t="s">
        <v>832</v>
      </c>
      <c r="CY43" s="170"/>
      <c r="CZ43" s="408" t="s">
        <v>832</v>
      </c>
      <c r="DA43" s="172"/>
      <c r="DB43" s="397"/>
      <c r="DC43" s="397"/>
      <c r="DD43" s="397"/>
      <c r="DE43" s="397"/>
      <c r="DF43" s="397"/>
      <c r="DG43" s="397"/>
      <c r="DH43" s="397"/>
      <c r="DI43" s="397"/>
      <c r="DJ43" s="397"/>
      <c r="DK43" s="397"/>
      <c r="DL43" s="397"/>
      <c r="DM43" s="397"/>
      <c r="DN43" s="397"/>
      <c r="DO43" s="397"/>
      <c r="DP43" s="397"/>
      <c r="DQ43" s="397"/>
      <c r="DR43" s="397"/>
    </row>
    <row r="44" spans="1:122" ht="18.75" x14ac:dyDescent="0.3">
      <c r="A44" s="325">
        <v>4931</v>
      </c>
      <c r="B44" s="326">
        <v>19</v>
      </c>
      <c r="C44" s="327" t="s">
        <v>1029</v>
      </c>
      <c r="D44" s="424" t="s">
        <v>834</v>
      </c>
      <c r="E44" s="440" t="s">
        <v>546</v>
      </c>
      <c r="F44" s="173"/>
      <c r="G44" s="173"/>
      <c r="H44" s="425">
        <v>6.5</v>
      </c>
      <c r="I44" s="168"/>
      <c r="J44" s="173" t="s">
        <v>995</v>
      </c>
      <c r="K44" s="371" t="s">
        <v>1030</v>
      </c>
      <c r="L44" s="426" t="s">
        <v>834</v>
      </c>
      <c r="M44" s="427"/>
      <c r="N44" s="173" t="s">
        <v>834</v>
      </c>
      <c r="O44" s="171"/>
      <c r="P44" s="385">
        <v>6.35</v>
      </c>
      <c r="Q44" s="427"/>
      <c r="R44" s="374">
        <v>0.39800000000000002</v>
      </c>
      <c r="S44" s="168" t="s">
        <v>837</v>
      </c>
      <c r="T44" s="469">
        <v>18</v>
      </c>
      <c r="U44" s="470" t="s">
        <v>1031</v>
      </c>
      <c r="V44" s="429">
        <v>6</v>
      </c>
      <c r="W44" s="377" t="s">
        <v>1032</v>
      </c>
      <c r="X44" s="167" t="s">
        <v>834</v>
      </c>
      <c r="Y44" s="168" t="s">
        <v>856</v>
      </c>
      <c r="Z44" s="167">
        <v>4</v>
      </c>
      <c r="AA44" s="168"/>
      <c r="AB44" s="167" t="s">
        <v>834</v>
      </c>
      <c r="AC44" s="168"/>
      <c r="AD44" s="430" t="s">
        <v>834</v>
      </c>
      <c r="AE44" s="168"/>
      <c r="AF44" s="173" t="s">
        <v>834</v>
      </c>
      <c r="AG44" s="171"/>
      <c r="AH44" s="167" t="s">
        <v>834</v>
      </c>
      <c r="AI44" s="168"/>
      <c r="AJ44" s="373" t="s">
        <v>834</v>
      </c>
      <c r="AK44" s="431"/>
      <c r="AL44" s="167" t="s">
        <v>834</v>
      </c>
      <c r="AM44" s="168"/>
      <c r="AN44" s="173" t="s">
        <v>834</v>
      </c>
      <c r="AO44" s="171" t="s">
        <v>1033</v>
      </c>
      <c r="AP44" s="432" t="s">
        <v>834</v>
      </c>
      <c r="AQ44" s="168"/>
      <c r="AR44" s="173" t="s">
        <v>834</v>
      </c>
      <c r="AS44" s="171"/>
      <c r="AT44" s="173" t="s">
        <v>834</v>
      </c>
      <c r="AU44" s="171"/>
      <c r="AV44" s="381" t="s">
        <v>834</v>
      </c>
      <c r="AW44" s="168"/>
      <c r="AX44" s="433" t="s">
        <v>834</v>
      </c>
      <c r="AY44" s="427" t="s">
        <v>1034</v>
      </c>
      <c r="AZ44" s="373">
        <v>7</v>
      </c>
      <c r="BA44" s="427" t="s">
        <v>1035</v>
      </c>
      <c r="BB44" s="164" t="s">
        <v>834</v>
      </c>
      <c r="BC44" s="168"/>
      <c r="BD44" s="464" t="s">
        <v>546</v>
      </c>
      <c r="BE44" s="427"/>
      <c r="BF44" s="384" t="s">
        <v>834</v>
      </c>
      <c r="BG44" s="168"/>
      <c r="BH44" s="432" t="s">
        <v>834</v>
      </c>
      <c r="BI44" s="168"/>
      <c r="BJ44" s="167"/>
      <c r="BK44" s="167"/>
      <c r="BL44" s="167">
        <v>6.875</v>
      </c>
      <c r="BM44" s="168" t="s">
        <v>1036</v>
      </c>
      <c r="BN44" s="173">
        <v>5.125</v>
      </c>
      <c r="BO44" s="171"/>
      <c r="BP44" s="435">
        <v>4</v>
      </c>
      <c r="BQ44" s="436" t="s">
        <v>1037</v>
      </c>
      <c r="BR44" s="167" t="s">
        <v>834</v>
      </c>
      <c r="BS44" s="168" t="s">
        <v>1038</v>
      </c>
      <c r="BT44" s="167" t="s">
        <v>834</v>
      </c>
      <c r="BU44" s="168"/>
      <c r="BV44" s="429">
        <v>5.75</v>
      </c>
      <c r="BW44" s="168" t="s">
        <v>1039</v>
      </c>
      <c r="BX44" s="437">
        <v>4.5</v>
      </c>
      <c r="BY44" s="171"/>
      <c r="BZ44" s="432"/>
      <c r="CA44" s="168"/>
      <c r="CB44" s="167" t="s">
        <v>834</v>
      </c>
      <c r="CC44" s="168" t="s">
        <v>1040</v>
      </c>
      <c r="CD44" s="173" t="s">
        <v>834</v>
      </c>
      <c r="CE44" s="171"/>
      <c r="CF44" s="167" t="s">
        <v>834</v>
      </c>
      <c r="CG44" s="168"/>
      <c r="CH44" s="167">
        <v>4.5</v>
      </c>
      <c r="CI44" s="168"/>
      <c r="CJ44" s="167">
        <v>7</v>
      </c>
      <c r="CK44" s="444" t="s">
        <v>1041</v>
      </c>
      <c r="CL44" s="385">
        <v>6.25</v>
      </c>
      <c r="CM44" s="168"/>
      <c r="CN44" s="385" t="s">
        <v>834</v>
      </c>
      <c r="CO44" s="168"/>
      <c r="CP44" s="167" t="s">
        <v>834</v>
      </c>
      <c r="CQ44" s="168"/>
      <c r="CR44" s="373" t="s">
        <v>834</v>
      </c>
      <c r="CS44" s="427"/>
      <c r="CT44" s="432">
        <v>6.5</v>
      </c>
      <c r="CU44" s="168" t="s">
        <v>938</v>
      </c>
      <c r="CV44" s="432">
        <v>6</v>
      </c>
      <c r="CW44" s="168"/>
      <c r="CX44" s="168">
        <v>5</v>
      </c>
      <c r="CY44" s="168" t="s">
        <v>1042</v>
      </c>
      <c r="CZ44" s="173" t="s">
        <v>834</v>
      </c>
      <c r="DA44" s="171" t="s">
        <v>1043</v>
      </c>
      <c r="DB44" s="371" t="s">
        <v>546</v>
      </c>
      <c r="DC44" s="371">
        <f t="shared" ref="DC44:DC53" si="4">COUNT(D44:CZ44)</f>
        <v>18</v>
      </c>
      <c r="DD44" s="371"/>
      <c r="DE44" s="371"/>
      <c r="DF44" s="371"/>
      <c r="DG44" s="371"/>
      <c r="DH44" s="371"/>
      <c r="DI44" s="371"/>
      <c r="DJ44" s="371"/>
      <c r="DK44" s="371"/>
      <c r="DL44" s="371"/>
      <c r="DM44" s="371"/>
      <c r="DN44" s="371"/>
      <c r="DO44" s="371"/>
      <c r="DP44" s="371"/>
      <c r="DQ44" s="371"/>
      <c r="DR44" s="371"/>
    </row>
    <row r="45" spans="1:122" ht="18.75" x14ac:dyDescent="0.3">
      <c r="A45" s="325">
        <v>49313</v>
      </c>
      <c r="B45" s="326">
        <v>20</v>
      </c>
      <c r="C45" s="327" t="s">
        <v>1044</v>
      </c>
      <c r="D45" s="424" t="s">
        <v>834</v>
      </c>
      <c r="E45" s="328"/>
      <c r="F45" s="173" t="s">
        <v>546</v>
      </c>
      <c r="G45" s="173"/>
      <c r="H45" s="425" t="s">
        <v>834</v>
      </c>
      <c r="I45" s="168"/>
      <c r="J45" s="173" t="s">
        <v>995</v>
      </c>
      <c r="K45" s="371" t="s">
        <v>1030</v>
      </c>
      <c r="L45" s="426" t="s">
        <v>834</v>
      </c>
      <c r="M45" s="427"/>
      <c r="N45" s="173" t="s">
        <v>834</v>
      </c>
      <c r="O45" s="171"/>
      <c r="P45" s="385" t="s">
        <v>834</v>
      </c>
      <c r="Q45" s="427"/>
      <c r="R45" s="374">
        <v>0.39800000000000002</v>
      </c>
      <c r="S45" s="168" t="s">
        <v>837</v>
      </c>
      <c r="T45" s="428" t="s">
        <v>834</v>
      </c>
      <c r="U45" s="376"/>
      <c r="V45" s="441">
        <v>6</v>
      </c>
      <c r="W45" s="377" t="s">
        <v>1032</v>
      </c>
      <c r="X45" s="167" t="s">
        <v>834</v>
      </c>
      <c r="Y45" s="168" t="s">
        <v>856</v>
      </c>
      <c r="Z45" s="167">
        <v>4</v>
      </c>
      <c r="AA45" s="168"/>
      <c r="AB45" s="167" t="s">
        <v>834</v>
      </c>
      <c r="AC45" s="168"/>
      <c r="AD45" s="430" t="s">
        <v>834</v>
      </c>
      <c r="AE45" s="168"/>
      <c r="AF45" s="173" t="s">
        <v>834</v>
      </c>
      <c r="AG45" s="171"/>
      <c r="AH45" s="373" t="s">
        <v>834</v>
      </c>
      <c r="AI45" s="168" t="s">
        <v>1045</v>
      </c>
      <c r="AJ45" s="373" t="s">
        <v>834</v>
      </c>
      <c r="AK45" s="431"/>
      <c r="AL45" s="167" t="s">
        <v>834</v>
      </c>
      <c r="AM45" s="168"/>
      <c r="AN45" s="173" t="s">
        <v>834</v>
      </c>
      <c r="AO45" s="171" t="s">
        <v>1046</v>
      </c>
      <c r="AP45" s="432" t="s">
        <v>834</v>
      </c>
      <c r="AQ45" s="168"/>
      <c r="AR45" s="173" t="s">
        <v>834</v>
      </c>
      <c r="AS45" s="171"/>
      <c r="AT45" s="173" t="s">
        <v>834</v>
      </c>
      <c r="AU45" s="171"/>
      <c r="AV45" s="381" t="s">
        <v>834</v>
      </c>
      <c r="AW45" s="168"/>
      <c r="AX45" s="433" t="s">
        <v>834</v>
      </c>
      <c r="AY45" s="427"/>
      <c r="AZ45" s="373">
        <v>7</v>
      </c>
      <c r="BA45" s="462" t="s">
        <v>1047</v>
      </c>
      <c r="BB45" s="164" t="s">
        <v>834</v>
      </c>
      <c r="BC45" s="168"/>
      <c r="BD45" s="464" t="s">
        <v>546</v>
      </c>
      <c r="BE45" s="427"/>
      <c r="BF45" s="384" t="s">
        <v>834</v>
      </c>
      <c r="BG45" s="168"/>
      <c r="BH45" s="432" t="s">
        <v>834</v>
      </c>
      <c r="BI45" s="168"/>
      <c r="BJ45" s="167"/>
      <c r="BK45" s="167"/>
      <c r="BL45" s="167">
        <v>6.875</v>
      </c>
      <c r="BM45" s="168" t="s">
        <v>1036</v>
      </c>
      <c r="BN45" s="173">
        <v>5.125</v>
      </c>
      <c r="BO45" s="171" t="s">
        <v>1048</v>
      </c>
      <c r="BP45" s="435" t="s">
        <v>834</v>
      </c>
      <c r="BQ45" s="471" t="s">
        <v>1049</v>
      </c>
      <c r="BR45" s="167" t="s">
        <v>834</v>
      </c>
      <c r="BS45" s="168" t="s">
        <v>1050</v>
      </c>
      <c r="BT45" s="167" t="s">
        <v>834</v>
      </c>
      <c r="BU45" s="168"/>
      <c r="BV45" s="167" t="s">
        <v>834</v>
      </c>
      <c r="BW45" s="168"/>
      <c r="BX45" s="437" t="s">
        <v>834</v>
      </c>
      <c r="BY45" s="171"/>
      <c r="BZ45" s="432"/>
      <c r="CA45" s="168"/>
      <c r="CB45" s="167" t="s">
        <v>834</v>
      </c>
      <c r="CC45" s="168" t="s">
        <v>1040</v>
      </c>
      <c r="CD45" s="173" t="s">
        <v>834</v>
      </c>
      <c r="CE45" s="171"/>
      <c r="CF45" s="167" t="s">
        <v>834</v>
      </c>
      <c r="CG45" s="168"/>
      <c r="CH45" s="167">
        <v>4.5</v>
      </c>
      <c r="CI45" s="168"/>
      <c r="CJ45" s="167" t="s">
        <v>834</v>
      </c>
      <c r="CK45" s="168"/>
      <c r="CL45" s="385" t="s">
        <v>834</v>
      </c>
      <c r="CM45" s="168"/>
      <c r="CN45" s="385" t="s">
        <v>834</v>
      </c>
      <c r="CO45" s="168"/>
      <c r="CP45" s="167" t="s">
        <v>834</v>
      </c>
      <c r="CQ45" s="168"/>
      <c r="CR45" s="373" t="s">
        <v>834</v>
      </c>
      <c r="CS45" s="427"/>
      <c r="CT45" s="432">
        <v>1.5</v>
      </c>
      <c r="CU45" s="168" t="s">
        <v>840</v>
      </c>
      <c r="CV45" s="432">
        <v>6</v>
      </c>
      <c r="CW45" s="168"/>
      <c r="CX45" s="168" t="s">
        <v>834</v>
      </c>
      <c r="CY45" s="168"/>
      <c r="CZ45" s="173" t="s">
        <v>834</v>
      </c>
      <c r="DA45" s="171" t="s">
        <v>1043</v>
      </c>
      <c r="DB45" s="371" t="s">
        <v>546</v>
      </c>
      <c r="DC45" s="371">
        <f t="shared" si="4"/>
        <v>9</v>
      </c>
      <c r="DD45" s="371"/>
      <c r="DE45" s="371"/>
      <c r="DF45" s="371"/>
      <c r="DG45" s="371"/>
      <c r="DH45" s="371"/>
      <c r="DI45" s="371"/>
      <c r="DJ45" s="371"/>
      <c r="DK45" s="371"/>
      <c r="DL45" s="371"/>
      <c r="DM45" s="371"/>
      <c r="DN45" s="371"/>
      <c r="DO45" s="371"/>
      <c r="DP45" s="371"/>
      <c r="DQ45" s="371"/>
      <c r="DR45" s="371"/>
    </row>
    <row r="46" spans="1:122" ht="18.75" x14ac:dyDescent="0.3">
      <c r="A46" s="325">
        <v>49312</v>
      </c>
      <c r="B46" s="326">
        <v>21</v>
      </c>
      <c r="C46" s="327" t="s">
        <v>1051</v>
      </c>
      <c r="D46" s="424" t="s">
        <v>834</v>
      </c>
      <c r="E46" s="328"/>
      <c r="F46" s="173" t="s">
        <v>546</v>
      </c>
      <c r="G46" s="173"/>
      <c r="H46" s="425">
        <v>6.5</v>
      </c>
      <c r="I46" s="168"/>
      <c r="J46" s="173" t="s">
        <v>995</v>
      </c>
      <c r="K46" s="371" t="s">
        <v>1030</v>
      </c>
      <c r="L46" s="426" t="s">
        <v>834</v>
      </c>
      <c r="M46" s="427"/>
      <c r="N46" s="173" t="s">
        <v>834</v>
      </c>
      <c r="O46" s="171"/>
      <c r="P46" s="385" t="s">
        <v>834</v>
      </c>
      <c r="Q46" s="427"/>
      <c r="R46" s="374">
        <v>0.39800000000000002</v>
      </c>
      <c r="S46" s="168" t="s">
        <v>837</v>
      </c>
      <c r="T46" s="428" t="s">
        <v>834</v>
      </c>
      <c r="U46" s="376"/>
      <c r="V46" s="441">
        <v>6</v>
      </c>
      <c r="W46" s="377" t="s">
        <v>1032</v>
      </c>
      <c r="X46" s="167" t="s">
        <v>834</v>
      </c>
      <c r="Y46" s="168" t="s">
        <v>856</v>
      </c>
      <c r="Z46" s="167">
        <v>4</v>
      </c>
      <c r="AA46" s="168"/>
      <c r="AB46" s="167" t="s">
        <v>834</v>
      </c>
      <c r="AC46" s="168"/>
      <c r="AD46" s="430" t="s">
        <v>834</v>
      </c>
      <c r="AE46" s="168"/>
      <c r="AF46" s="173" t="s">
        <v>834</v>
      </c>
      <c r="AG46" s="171"/>
      <c r="AH46" s="167">
        <v>6</v>
      </c>
      <c r="AI46" s="168" t="s">
        <v>546</v>
      </c>
      <c r="AJ46" s="373" t="s">
        <v>834</v>
      </c>
      <c r="AK46" s="431"/>
      <c r="AL46" s="167" t="s">
        <v>834</v>
      </c>
      <c r="AM46" s="168"/>
      <c r="AN46" s="173">
        <v>5</v>
      </c>
      <c r="AO46" s="171" t="s">
        <v>1052</v>
      </c>
      <c r="AP46" s="432" t="s">
        <v>834</v>
      </c>
      <c r="AQ46" s="168"/>
      <c r="AR46" s="173" t="s">
        <v>834</v>
      </c>
      <c r="AS46" s="171"/>
      <c r="AT46" s="173" t="s">
        <v>834</v>
      </c>
      <c r="AU46" s="171"/>
      <c r="AV46" s="381" t="s">
        <v>834</v>
      </c>
      <c r="AW46" s="168"/>
      <c r="AX46" s="433" t="s">
        <v>834</v>
      </c>
      <c r="AY46" s="427" t="s">
        <v>1053</v>
      </c>
      <c r="AZ46" s="373">
        <v>7</v>
      </c>
      <c r="BA46" s="427" t="s">
        <v>1035</v>
      </c>
      <c r="BB46" s="164" t="s">
        <v>834</v>
      </c>
      <c r="BC46" s="168"/>
      <c r="BD46" s="464" t="s">
        <v>546</v>
      </c>
      <c r="BE46" s="427"/>
      <c r="BF46" s="384" t="s">
        <v>834</v>
      </c>
      <c r="BG46" s="168"/>
      <c r="BH46" s="432" t="s">
        <v>834</v>
      </c>
      <c r="BI46" s="168"/>
      <c r="BJ46" s="167"/>
      <c r="BK46" s="167"/>
      <c r="BL46" s="167">
        <v>6.875</v>
      </c>
      <c r="BM46" s="168" t="s">
        <v>1036</v>
      </c>
      <c r="BN46" s="173">
        <v>5.125</v>
      </c>
      <c r="BO46" s="171"/>
      <c r="BP46" s="435">
        <v>4</v>
      </c>
      <c r="BQ46" s="436" t="s">
        <v>1054</v>
      </c>
      <c r="BR46" s="167" t="s">
        <v>834</v>
      </c>
      <c r="BS46" s="168"/>
      <c r="BT46" s="167" t="s">
        <v>834</v>
      </c>
      <c r="BU46" s="168"/>
      <c r="BV46" s="429">
        <v>5.75</v>
      </c>
      <c r="BW46" s="168" t="s">
        <v>1039</v>
      </c>
      <c r="BX46" s="437" t="s">
        <v>834</v>
      </c>
      <c r="BY46" s="171"/>
      <c r="BZ46" s="432"/>
      <c r="CA46" s="168"/>
      <c r="CB46" s="167" t="s">
        <v>834</v>
      </c>
      <c r="CC46" s="168" t="s">
        <v>1040</v>
      </c>
      <c r="CD46" s="173" t="s">
        <v>834</v>
      </c>
      <c r="CE46" s="171"/>
      <c r="CF46" s="373" t="s">
        <v>834</v>
      </c>
      <c r="CG46" s="427" t="s">
        <v>1055</v>
      </c>
      <c r="CH46" s="167">
        <v>4.5</v>
      </c>
      <c r="CI46" s="168"/>
      <c r="CJ46" s="167" t="s">
        <v>834</v>
      </c>
      <c r="CK46" s="168"/>
      <c r="CL46" s="385">
        <v>6.25</v>
      </c>
      <c r="CM46" s="168"/>
      <c r="CN46" s="385" t="s">
        <v>834</v>
      </c>
      <c r="CO46" s="168"/>
      <c r="CP46" s="167" t="s">
        <v>834</v>
      </c>
      <c r="CQ46" s="168"/>
      <c r="CR46" s="373" t="s">
        <v>834</v>
      </c>
      <c r="CS46" s="427"/>
      <c r="CT46" s="164">
        <v>0.48399999999999999</v>
      </c>
      <c r="CU46" s="168" t="s">
        <v>840</v>
      </c>
      <c r="CV46" s="432">
        <v>6</v>
      </c>
      <c r="CW46" s="168"/>
      <c r="CX46" s="168" t="s">
        <v>834</v>
      </c>
      <c r="CY46" s="168"/>
      <c r="CZ46" s="173" t="s">
        <v>834</v>
      </c>
      <c r="DA46" s="171" t="s">
        <v>1043</v>
      </c>
      <c r="DB46" s="371" t="s">
        <v>546</v>
      </c>
      <c r="DC46" s="371">
        <f t="shared" si="4"/>
        <v>15</v>
      </c>
      <c r="DD46" s="371"/>
      <c r="DE46" s="371"/>
      <c r="DF46" s="371"/>
      <c r="DG46" s="371"/>
      <c r="DH46" s="371"/>
      <c r="DI46" s="371"/>
      <c r="DJ46" s="371"/>
      <c r="DK46" s="371"/>
      <c r="DL46" s="371"/>
      <c r="DM46" s="371"/>
      <c r="DN46" s="371"/>
      <c r="DO46" s="371"/>
      <c r="DP46" s="371"/>
      <c r="DQ46" s="371"/>
      <c r="DR46" s="371"/>
    </row>
    <row r="47" spans="1:122" ht="18.75" x14ac:dyDescent="0.3">
      <c r="A47" s="325">
        <v>49311</v>
      </c>
      <c r="B47" s="326">
        <v>22</v>
      </c>
      <c r="C47" s="327" t="s">
        <v>1056</v>
      </c>
      <c r="D47" s="424" t="s">
        <v>834</v>
      </c>
      <c r="E47" s="328"/>
      <c r="F47" s="173" t="s">
        <v>546</v>
      </c>
      <c r="G47" s="173"/>
      <c r="H47" s="425" t="s">
        <v>834</v>
      </c>
      <c r="I47" s="168"/>
      <c r="J47" s="173" t="s">
        <v>995</v>
      </c>
      <c r="K47" s="371" t="s">
        <v>1030</v>
      </c>
      <c r="L47" s="426" t="s">
        <v>834</v>
      </c>
      <c r="M47" s="427"/>
      <c r="N47" s="173" t="s">
        <v>834</v>
      </c>
      <c r="O47" s="171"/>
      <c r="P47" s="385">
        <v>6.35</v>
      </c>
      <c r="Q47" s="427" t="s">
        <v>1057</v>
      </c>
      <c r="R47" s="374">
        <v>0.39800000000000002</v>
      </c>
      <c r="S47" s="168" t="s">
        <v>837</v>
      </c>
      <c r="T47" s="428">
        <v>5.75</v>
      </c>
      <c r="U47" s="376" t="s">
        <v>1058</v>
      </c>
      <c r="V47" s="441">
        <v>6</v>
      </c>
      <c r="W47" s="377" t="s">
        <v>1032</v>
      </c>
      <c r="X47" s="373" t="s">
        <v>834</v>
      </c>
      <c r="Y47" s="168" t="s">
        <v>1059</v>
      </c>
      <c r="Z47" s="167">
        <v>4</v>
      </c>
      <c r="AA47" s="168"/>
      <c r="AB47" s="167" t="s">
        <v>834</v>
      </c>
      <c r="AC47" s="168"/>
      <c r="AD47" s="430" t="s">
        <v>834</v>
      </c>
      <c r="AE47" s="168"/>
      <c r="AF47" s="173" t="s">
        <v>834</v>
      </c>
      <c r="AG47" s="171"/>
      <c r="AH47" s="167">
        <v>6</v>
      </c>
      <c r="AI47" s="168" t="s">
        <v>546</v>
      </c>
      <c r="AJ47" s="373" t="s">
        <v>834</v>
      </c>
      <c r="AK47" s="431"/>
      <c r="AL47" s="167" t="s">
        <v>834</v>
      </c>
      <c r="AM47" s="168"/>
      <c r="AN47" s="173" t="s">
        <v>834</v>
      </c>
      <c r="AO47" s="171"/>
      <c r="AP47" s="432" t="s">
        <v>834</v>
      </c>
      <c r="AQ47" s="168"/>
      <c r="AR47" s="173" t="s">
        <v>834</v>
      </c>
      <c r="AS47" s="171"/>
      <c r="AT47" s="173" t="s">
        <v>834</v>
      </c>
      <c r="AU47" s="171"/>
      <c r="AV47" s="381" t="s">
        <v>834</v>
      </c>
      <c r="AW47" s="168"/>
      <c r="AX47" s="433" t="s">
        <v>834</v>
      </c>
      <c r="AY47" s="427"/>
      <c r="AZ47" s="373">
        <v>7</v>
      </c>
      <c r="BA47" s="427" t="s">
        <v>1035</v>
      </c>
      <c r="BB47" s="164" t="s">
        <v>834</v>
      </c>
      <c r="BC47" s="168"/>
      <c r="BD47" s="464" t="s">
        <v>546</v>
      </c>
      <c r="BE47" s="427"/>
      <c r="BF47" s="384" t="s">
        <v>834</v>
      </c>
      <c r="BG47" s="168"/>
      <c r="BH47" s="432" t="s">
        <v>834</v>
      </c>
      <c r="BI47" s="168"/>
      <c r="BJ47" s="167"/>
      <c r="BK47" s="167"/>
      <c r="BL47" s="167">
        <v>6.875</v>
      </c>
      <c r="BM47" s="168" t="s">
        <v>1036</v>
      </c>
      <c r="BN47" s="173">
        <v>5.125</v>
      </c>
      <c r="BO47" s="171" t="s">
        <v>1060</v>
      </c>
      <c r="BP47" s="435">
        <v>4</v>
      </c>
      <c r="BQ47" s="436" t="s">
        <v>1054</v>
      </c>
      <c r="BR47" s="167" t="s">
        <v>834</v>
      </c>
      <c r="BS47" s="168"/>
      <c r="BT47" s="167" t="s">
        <v>834</v>
      </c>
      <c r="BU47" s="168"/>
      <c r="BV47" s="167">
        <v>5.75</v>
      </c>
      <c r="BW47" s="168" t="s">
        <v>1061</v>
      </c>
      <c r="BX47" s="437" t="s">
        <v>834</v>
      </c>
      <c r="BY47" s="171"/>
      <c r="BZ47" s="432"/>
      <c r="CA47" s="168"/>
      <c r="CB47" s="167" t="s">
        <v>834</v>
      </c>
      <c r="CC47" s="168" t="s">
        <v>1040</v>
      </c>
      <c r="CD47" s="173" t="s">
        <v>834</v>
      </c>
      <c r="CE47" s="171"/>
      <c r="CF47" s="167" t="s">
        <v>834</v>
      </c>
      <c r="CG47" s="168"/>
      <c r="CH47" s="167">
        <v>4.5</v>
      </c>
      <c r="CI47" s="168"/>
      <c r="CJ47" s="167" t="s">
        <v>834</v>
      </c>
      <c r="CK47" s="168"/>
      <c r="CL47" s="385" t="s">
        <v>834</v>
      </c>
      <c r="CM47" s="168"/>
      <c r="CN47" s="385" t="s">
        <v>834</v>
      </c>
      <c r="CO47" s="168"/>
      <c r="CP47" s="167" t="s">
        <v>834</v>
      </c>
      <c r="CQ47" s="168"/>
      <c r="CR47" s="373" t="s">
        <v>834</v>
      </c>
      <c r="CS47" s="427"/>
      <c r="CT47" s="164">
        <v>0.48399999999999999</v>
      </c>
      <c r="CU47" s="168" t="s">
        <v>840</v>
      </c>
      <c r="CV47" s="432">
        <v>6</v>
      </c>
      <c r="CW47" s="168"/>
      <c r="CX47" s="168" t="s">
        <v>834</v>
      </c>
      <c r="CY47" s="168"/>
      <c r="CZ47" s="173" t="s">
        <v>834</v>
      </c>
      <c r="DA47" s="171" t="s">
        <v>1043</v>
      </c>
      <c r="DB47" s="371" t="s">
        <v>546</v>
      </c>
      <c r="DC47" s="371">
        <f t="shared" si="4"/>
        <v>14</v>
      </c>
      <c r="DD47" s="371"/>
      <c r="DE47" s="371"/>
      <c r="DF47" s="371"/>
      <c r="DG47" s="371"/>
      <c r="DH47" s="371"/>
      <c r="DI47" s="371"/>
      <c r="DJ47" s="371"/>
      <c r="DK47" s="371"/>
      <c r="DL47" s="371"/>
      <c r="DM47" s="371"/>
      <c r="DN47" s="371"/>
      <c r="DO47" s="371"/>
      <c r="DP47" s="371"/>
      <c r="DQ47" s="371"/>
      <c r="DR47" s="371"/>
    </row>
    <row r="48" spans="1:122" ht="18.75" x14ac:dyDescent="0.3">
      <c r="A48" s="325">
        <v>53113</v>
      </c>
      <c r="B48" s="326">
        <v>23</v>
      </c>
      <c r="C48" s="327" t="s">
        <v>1062</v>
      </c>
      <c r="D48" s="424" t="s">
        <v>834</v>
      </c>
      <c r="E48" s="328"/>
      <c r="F48" s="173" t="s">
        <v>546</v>
      </c>
      <c r="G48" s="173"/>
      <c r="H48" s="425" t="s">
        <v>834</v>
      </c>
      <c r="I48" s="168"/>
      <c r="J48" s="173" t="s">
        <v>995</v>
      </c>
      <c r="K48" s="371" t="s">
        <v>1030</v>
      </c>
      <c r="L48" s="426" t="s">
        <v>834</v>
      </c>
      <c r="M48" s="427"/>
      <c r="N48" s="173" t="s">
        <v>834</v>
      </c>
      <c r="O48" s="171"/>
      <c r="P48" s="385">
        <v>6.35</v>
      </c>
      <c r="Q48" s="427" t="s">
        <v>1057</v>
      </c>
      <c r="R48" s="374">
        <v>0.39800000000000002</v>
      </c>
      <c r="S48" s="168" t="s">
        <v>837</v>
      </c>
      <c r="T48" s="428" t="s">
        <v>834</v>
      </c>
      <c r="U48" s="376"/>
      <c r="V48" s="441">
        <v>6</v>
      </c>
      <c r="W48" s="377" t="s">
        <v>1032</v>
      </c>
      <c r="X48" s="167" t="s">
        <v>834</v>
      </c>
      <c r="Y48" s="168" t="s">
        <v>856</v>
      </c>
      <c r="Z48" s="167">
        <v>4</v>
      </c>
      <c r="AA48" s="168"/>
      <c r="AB48" s="167" t="s">
        <v>834</v>
      </c>
      <c r="AC48" s="168"/>
      <c r="AD48" s="430" t="s">
        <v>834</v>
      </c>
      <c r="AE48" s="168"/>
      <c r="AF48" s="173" t="s">
        <v>834</v>
      </c>
      <c r="AG48" s="171"/>
      <c r="AH48" s="167">
        <v>6</v>
      </c>
      <c r="AI48" s="168"/>
      <c r="AJ48" s="373" t="s">
        <v>834</v>
      </c>
      <c r="AK48" s="431"/>
      <c r="AL48" s="167" t="s">
        <v>834</v>
      </c>
      <c r="AM48" s="168"/>
      <c r="AN48" s="173" t="s">
        <v>834</v>
      </c>
      <c r="AO48" s="171" t="s">
        <v>1063</v>
      </c>
      <c r="AP48" s="432" t="s">
        <v>834</v>
      </c>
      <c r="AQ48" s="168"/>
      <c r="AR48" s="173" t="s">
        <v>834</v>
      </c>
      <c r="AS48" s="171"/>
      <c r="AT48" s="173" t="s">
        <v>834</v>
      </c>
      <c r="AU48" s="171"/>
      <c r="AV48" s="381" t="s">
        <v>834</v>
      </c>
      <c r="AW48" s="168"/>
      <c r="AX48" s="433" t="s">
        <v>834</v>
      </c>
      <c r="AY48" s="427"/>
      <c r="AZ48" s="373" t="s">
        <v>834</v>
      </c>
      <c r="BA48" s="454" t="s">
        <v>1064</v>
      </c>
      <c r="BB48" s="164" t="s">
        <v>834</v>
      </c>
      <c r="BC48" s="168"/>
      <c r="BD48" s="464" t="s">
        <v>546</v>
      </c>
      <c r="BE48" s="427"/>
      <c r="BF48" s="384" t="s">
        <v>834</v>
      </c>
      <c r="BG48" s="168"/>
      <c r="BH48" s="432" t="s">
        <v>834</v>
      </c>
      <c r="BI48" s="168"/>
      <c r="BJ48" s="167"/>
      <c r="BK48" s="167"/>
      <c r="BL48" s="167">
        <v>6.875</v>
      </c>
      <c r="BM48" s="168" t="s">
        <v>1036</v>
      </c>
      <c r="BN48" s="173">
        <v>5.125</v>
      </c>
      <c r="BO48" s="171"/>
      <c r="BP48" s="435">
        <v>4</v>
      </c>
      <c r="BQ48" s="436" t="s">
        <v>1054</v>
      </c>
      <c r="BR48" s="167" t="s">
        <v>834</v>
      </c>
      <c r="BS48" s="168"/>
      <c r="BT48" s="167" t="s">
        <v>834</v>
      </c>
      <c r="BU48" s="168"/>
      <c r="BV48" s="429">
        <v>5.75</v>
      </c>
      <c r="BW48" s="168" t="s">
        <v>1039</v>
      </c>
      <c r="BX48" s="437" t="s">
        <v>834</v>
      </c>
      <c r="BY48" s="171"/>
      <c r="BZ48" s="432"/>
      <c r="CA48" s="168"/>
      <c r="CB48" s="167" t="s">
        <v>834</v>
      </c>
      <c r="CC48" s="168" t="s">
        <v>1040</v>
      </c>
      <c r="CD48" s="173" t="s">
        <v>834</v>
      </c>
      <c r="CE48" s="171"/>
      <c r="CF48" s="167" t="s">
        <v>834</v>
      </c>
      <c r="CG48" s="168"/>
      <c r="CH48" s="167" t="s">
        <v>834</v>
      </c>
      <c r="CI48" s="168" t="s">
        <v>1065</v>
      </c>
      <c r="CJ48" s="167" t="s">
        <v>834</v>
      </c>
      <c r="CK48" s="168"/>
      <c r="CL48" s="385" t="s">
        <v>834</v>
      </c>
      <c r="CM48" s="168"/>
      <c r="CN48" s="385" t="s">
        <v>834</v>
      </c>
      <c r="CO48" s="168"/>
      <c r="CP48" s="167" t="s">
        <v>834</v>
      </c>
      <c r="CQ48" s="168"/>
      <c r="CR48" s="373" t="s">
        <v>834</v>
      </c>
      <c r="CS48" s="427"/>
      <c r="CT48" s="164">
        <v>0.48399999999999999</v>
      </c>
      <c r="CU48" s="168" t="s">
        <v>840</v>
      </c>
      <c r="CV48" s="432">
        <v>6</v>
      </c>
      <c r="CW48" s="168"/>
      <c r="CX48" s="168" t="s">
        <v>834</v>
      </c>
      <c r="CY48" s="168" t="s">
        <v>1066</v>
      </c>
      <c r="CZ48" s="173">
        <v>4</v>
      </c>
      <c r="DA48" s="171" t="s">
        <v>1067</v>
      </c>
      <c r="DB48" s="371" t="s">
        <v>546</v>
      </c>
      <c r="DC48" s="371">
        <f t="shared" si="4"/>
        <v>12</v>
      </c>
      <c r="DD48" s="371"/>
      <c r="DE48" s="371"/>
      <c r="DF48" s="371"/>
      <c r="DG48" s="371"/>
      <c r="DH48" s="371"/>
      <c r="DI48" s="371"/>
      <c r="DJ48" s="371"/>
      <c r="DK48" s="371"/>
      <c r="DL48" s="371"/>
      <c r="DM48" s="371"/>
      <c r="DN48" s="371"/>
      <c r="DO48" s="371"/>
      <c r="DP48" s="371"/>
      <c r="DQ48" s="371"/>
      <c r="DR48" s="371"/>
    </row>
    <row r="49" spans="1:122" ht="18.75" x14ac:dyDescent="0.3">
      <c r="A49" s="325">
        <v>49312</v>
      </c>
      <c r="B49" s="326">
        <v>24</v>
      </c>
      <c r="C49" s="327" t="s">
        <v>1068</v>
      </c>
      <c r="D49" s="424" t="s">
        <v>834</v>
      </c>
      <c r="E49" s="328"/>
      <c r="F49" s="173" t="s">
        <v>546</v>
      </c>
      <c r="G49" s="173"/>
      <c r="H49" s="425" t="s">
        <v>834</v>
      </c>
      <c r="I49" s="168"/>
      <c r="J49" s="173" t="s">
        <v>995</v>
      </c>
      <c r="K49" s="371" t="s">
        <v>1030</v>
      </c>
      <c r="L49" s="426" t="s">
        <v>834</v>
      </c>
      <c r="M49" s="427"/>
      <c r="N49" s="173" t="s">
        <v>834</v>
      </c>
      <c r="O49" s="171"/>
      <c r="P49" s="385" t="s">
        <v>834</v>
      </c>
      <c r="Q49" s="427"/>
      <c r="R49" s="374">
        <v>0.39800000000000002</v>
      </c>
      <c r="S49" s="168" t="s">
        <v>837</v>
      </c>
      <c r="T49" s="428" t="s">
        <v>834</v>
      </c>
      <c r="U49" s="376"/>
      <c r="V49" s="441">
        <v>6</v>
      </c>
      <c r="W49" s="377" t="s">
        <v>1032</v>
      </c>
      <c r="X49" s="167" t="s">
        <v>834</v>
      </c>
      <c r="Y49" s="168" t="s">
        <v>856</v>
      </c>
      <c r="Z49" s="167">
        <v>4</v>
      </c>
      <c r="AA49" s="168"/>
      <c r="AB49" s="167" t="s">
        <v>834</v>
      </c>
      <c r="AC49" s="168"/>
      <c r="AD49" s="430" t="s">
        <v>834</v>
      </c>
      <c r="AE49" s="168"/>
      <c r="AF49" s="173">
        <v>7</v>
      </c>
      <c r="AG49" s="171" t="s">
        <v>1069</v>
      </c>
      <c r="AH49" s="167" t="s">
        <v>834</v>
      </c>
      <c r="AI49" s="168" t="s">
        <v>1070</v>
      </c>
      <c r="AJ49" s="373" t="s">
        <v>834</v>
      </c>
      <c r="AK49" s="431"/>
      <c r="AL49" s="167" t="s">
        <v>834</v>
      </c>
      <c r="AM49" s="168"/>
      <c r="AN49" s="173">
        <v>5</v>
      </c>
      <c r="AO49" s="171" t="s">
        <v>1071</v>
      </c>
      <c r="AP49" s="432" t="s">
        <v>834</v>
      </c>
      <c r="AQ49" s="168"/>
      <c r="AR49" s="173" t="s">
        <v>834</v>
      </c>
      <c r="AS49" s="171"/>
      <c r="AT49" s="173" t="s">
        <v>834</v>
      </c>
      <c r="AU49" s="171"/>
      <c r="AV49" s="381" t="s">
        <v>834</v>
      </c>
      <c r="AW49" s="168"/>
      <c r="AX49" s="433" t="s">
        <v>834</v>
      </c>
      <c r="AY49" s="427"/>
      <c r="AZ49" s="373">
        <v>7</v>
      </c>
      <c r="BA49" s="462" t="s">
        <v>1047</v>
      </c>
      <c r="BB49" s="164" t="s">
        <v>834</v>
      </c>
      <c r="BC49" s="168"/>
      <c r="BD49" s="464" t="s">
        <v>546</v>
      </c>
      <c r="BE49" s="427"/>
      <c r="BF49" s="384" t="s">
        <v>834</v>
      </c>
      <c r="BG49" s="168"/>
      <c r="BH49" s="432" t="s">
        <v>834</v>
      </c>
      <c r="BI49" s="168"/>
      <c r="BJ49" s="167"/>
      <c r="BK49" s="167"/>
      <c r="BL49" s="167">
        <v>6.875</v>
      </c>
      <c r="BM49" s="168" t="s">
        <v>1036</v>
      </c>
      <c r="BN49" s="173">
        <v>5.125</v>
      </c>
      <c r="BO49" s="171"/>
      <c r="BP49" s="435" t="s">
        <v>834</v>
      </c>
      <c r="BQ49" s="471" t="s">
        <v>1049</v>
      </c>
      <c r="BR49" s="167" t="s">
        <v>834</v>
      </c>
      <c r="BS49" s="168"/>
      <c r="BT49" s="167" t="s">
        <v>834</v>
      </c>
      <c r="BU49" s="168"/>
      <c r="BV49" s="472">
        <v>5.75</v>
      </c>
      <c r="BW49" s="168" t="s">
        <v>1039</v>
      </c>
      <c r="BX49" s="437" t="s">
        <v>834</v>
      </c>
      <c r="BY49" s="171"/>
      <c r="BZ49" s="432"/>
      <c r="CA49" s="168"/>
      <c r="CB49" s="167" t="s">
        <v>834</v>
      </c>
      <c r="CC49" s="168" t="s">
        <v>1040</v>
      </c>
      <c r="CD49" s="173" t="s">
        <v>834</v>
      </c>
      <c r="CE49" s="171"/>
      <c r="CF49" s="167" t="s">
        <v>834</v>
      </c>
      <c r="CG49" s="168"/>
      <c r="CH49" s="167">
        <v>4.5</v>
      </c>
      <c r="CI49" s="168"/>
      <c r="CJ49" s="167" t="s">
        <v>834</v>
      </c>
      <c r="CK49" s="168"/>
      <c r="CL49" s="385" t="s">
        <v>834</v>
      </c>
      <c r="CM49" s="168"/>
      <c r="CN49" s="385" t="s">
        <v>834</v>
      </c>
      <c r="CO49" s="168"/>
      <c r="CP49" s="167" t="s">
        <v>834</v>
      </c>
      <c r="CQ49" s="168"/>
      <c r="CR49" s="373" t="s">
        <v>834</v>
      </c>
      <c r="CS49" s="427"/>
      <c r="CT49" s="432">
        <v>1.5</v>
      </c>
      <c r="CU49" s="168" t="s">
        <v>840</v>
      </c>
      <c r="CV49" s="432">
        <v>6</v>
      </c>
      <c r="CW49" s="168"/>
      <c r="CX49" s="168" t="s">
        <v>834</v>
      </c>
      <c r="CY49" s="168"/>
      <c r="CZ49" s="173" t="s">
        <v>834</v>
      </c>
      <c r="DA49" s="171" t="s">
        <v>1043</v>
      </c>
      <c r="DB49" s="371" t="s">
        <v>546</v>
      </c>
      <c r="DC49" s="371">
        <f t="shared" si="4"/>
        <v>12</v>
      </c>
      <c r="DD49" s="371"/>
      <c r="DE49" s="371"/>
      <c r="DF49" s="371"/>
      <c r="DG49" s="371"/>
      <c r="DH49" s="371"/>
      <c r="DI49" s="371"/>
      <c r="DJ49" s="371"/>
      <c r="DK49" s="371"/>
      <c r="DL49" s="371"/>
      <c r="DM49" s="371"/>
      <c r="DN49" s="371"/>
      <c r="DO49" s="371"/>
      <c r="DP49" s="371"/>
      <c r="DQ49" s="371"/>
      <c r="DR49" s="371"/>
    </row>
    <row r="50" spans="1:122" ht="18.75" x14ac:dyDescent="0.3">
      <c r="A50" s="325" t="s">
        <v>1072</v>
      </c>
      <c r="B50" s="326">
        <v>25</v>
      </c>
      <c r="C50" s="327" t="s">
        <v>1073</v>
      </c>
      <c r="D50" s="424" t="s">
        <v>834</v>
      </c>
      <c r="E50" s="328"/>
      <c r="F50" s="173" t="s">
        <v>546</v>
      </c>
      <c r="G50" s="173"/>
      <c r="H50" s="425">
        <v>6.5</v>
      </c>
      <c r="I50" s="168"/>
      <c r="J50" s="173" t="s">
        <v>995</v>
      </c>
      <c r="K50" s="371" t="s">
        <v>1030</v>
      </c>
      <c r="L50" s="426" t="s">
        <v>834</v>
      </c>
      <c r="M50" s="427"/>
      <c r="N50" s="173" t="s">
        <v>834</v>
      </c>
      <c r="O50" s="171"/>
      <c r="P50" s="445" t="s">
        <v>834</v>
      </c>
      <c r="Q50" s="427" t="s">
        <v>1074</v>
      </c>
      <c r="R50" s="374">
        <v>0.39800000000000002</v>
      </c>
      <c r="S50" s="168" t="s">
        <v>837</v>
      </c>
      <c r="T50" s="428">
        <v>5.75</v>
      </c>
      <c r="U50" s="376" t="s">
        <v>1075</v>
      </c>
      <c r="V50" s="429" t="s">
        <v>995</v>
      </c>
      <c r="W50" s="377" t="s">
        <v>992</v>
      </c>
      <c r="X50" s="167" t="s">
        <v>834</v>
      </c>
      <c r="Y50" s="168" t="s">
        <v>1076</v>
      </c>
      <c r="Z50" s="167">
        <v>4</v>
      </c>
      <c r="AA50" s="427" t="s">
        <v>1077</v>
      </c>
      <c r="AB50" s="167" t="s">
        <v>834</v>
      </c>
      <c r="AC50" s="427" t="s">
        <v>1078</v>
      </c>
      <c r="AD50" s="430" t="s">
        <v>834</v>
      </c>
      <c r="AE50" s="168"/>
      <c r="AF50" s="173" t="s">
        <v>834</v>
      </c>
      <c r="AG50" s="171"/>
      <c r="AH50" s="167" t="s">
        <v>834</v>
      </c>
      <c r="AI50" s="453" t="s">
        <v>1079</v>
      </c>
      <c r="AJ50" s="425">
        <v>6.5</v>
      </c>
      <c r="AK50" s="431" t="s">
        <v>1080</v>
      </c>
      <c r="AL50" s="167" t="s">
        <v>834</v>
      </c>
      <c r="AM50" s="168"/>
      <c r="AN50" s="173" t="s">
        <v>834</v>
      </c>
      <c r="AO50" s="171" t="s">
        <v>1081</v>
      </c>
      <c r="AP50" s="432" t="s">
        <v>834</v>
      </c>
      <c r="AQ50" s="168"/>
      <c r="AR50" s="173" t="s">
        <v>834</v>
      </c>
      <c r="AS50" s="171"/>
      <c r="AT50" s="173" t="s">
        <v>834</v>
      </c>
      <c r="AU50" s="171" t="s">
        <v>1082</v>
      </c>
      <c r="AV50" s="381" t="s">
        <v>834</v>
      </c>
      <c r="AW50" s="168"/>
      <c r="AX50" s="433" t="s">
        <v>834</v>
      </c>
      <c r="AY50" s="427" t="s">
        <v>1083</v>
      </c>
      <c r="AZ50" s="373">
        <v>7</v>
      </c>
      <c r="BA50" s="427" t="s">
        <v>1084</v>
      </c>
      <c r="BB50" s="164" t="s">
        <v>834</v>
      </c>
      <c r="BC50" s="168"/>
      <c r="BD50" s="464" t="s">
        <v>546</v>
      </c>
      <c r="BE50" s="427"/>
      <c r="BF50" s="384" t="s">
        <v>834</v>
      </c>
      <c r="BG50" s="168" t="s">
        <v>1085</v>
      </c>
      <c r="BH50" s="432" t="s">
        <v>834</v>
      </c>
      <c r="BI50" s="168"/>
      <c r="BJ50" s="167"/>
      <c r="BK50" s="167"/>
      <c r="BL50" s="167">
        <v>6.875</v>
      </c>
      <c r="BM50" s="168" t="s">
        <v>1086</v>
      </c>
      <c r="BN50" s="173">
        <v>5.125</v>
      </c>
      <c r="BO50" s="171"/>
      <c r="BP50" s="435">
        <v>4</v>
      </c>
      <c r="BQ50" s="436" t="s">
        <v>1087</v>
      </c>
      <c r="BR50" s="167" t="s">
        <v>834</v>
      </c>
      <c r="BS50" s="444" t="s">
        <v>1088</v>
      </c>
      <c r="BT50" s="167" t="s">
        <v>834</v>
      </c>
      <c r="BU50" s="168" t="s">
        <v>883</v>
      </c>
      <c r="BV50" s="167" t="s">
        <v>834</v>
      </c>
      <c r="BW50" s="168" t="s">
        <v>1089</v>
      </c>
      <c r="BX50" s="437" t="s">
        <v>834</v>
      </c>
      <c r="BY50" s="171" t="s">
        <v>1090</v>
      </c>
      <c r="BZ50" s="432" t="s">
        <v>546</v>
      </c>
      <c r="CA50" s="168"/>
      <c r="CB50" s="167">
        <v>6</v>
      </c>
      <c r="CC50" s="168" t="s">
        <v>1091</v>
      </c>
      <c r="CD50" s="173" t="s">
        <v>834</v>
      </c>
      <c r="CE50" s="171" t="s">
        <v>1092</v>
      </c>
      <c r="CF50" s="167" t="s">
        <v>834</v>
      </c>
      <c r="CG50" s="175" t="s">
        <v>1093</v>
      </c>
      <c r="CH50" s="167">
        <v>4.5</v>
      </c>
      <c r="CI50" s="168"/>
      <c r="CJ50" s="167" t="s">
        <v>834</v>
      </c>
      <c r="CK50" s="444" t="s">
        <v>1094</v>
      </c>
      <c r="CL50" s="445">
        <v>6.25</v>
      </c>
      <c r="CM50" s="168" t="s">
        <v>1095</v>
      </c>
      <c r="CN50" s="385">
        <v>4.7</v>
      </c>
      <c r="CO50" s="168" t="s">
        <v>1096</v>
      </c>
      <c r="CP50" s="167" t="s">
        <v>834</v>
      </c>
      <c r="CQ50" s="168"/>
      <c r="CR50" s="373" t="s">
        <v>834</v>
      </c>
      <c r="CS50" s="427"/>
      <c r="CT50" s="432" t="s">
        <v>834</v>
      </c>
      <c r="CU50" s="168" t="s">
        <v>1097</v>
      </c>
      <c r="CV50" s="432">
        <v>6</v>
      </c>
      <c r="CW50" s="168"/>
      <c r="CX50" s="168">
        <v>5</v>
      </c>
      <c r="CY50" s="168"/>
      <c r="CZ50" s="173" t="s">
        <v>834</v>
      </c>
      <c r="DA50" s="171" t="s">
        <v>1098</v>
      </c>
      <c r="DB50" s="371" t="s">
        <v>1099</v>
      </c>
      <c r="DC50" s="371">
        <f t="shared" si="4"/>
        <v>15</v>
      </c>
      <c r="DD50" s="371"/>
      <c r="DE50" s="371"/>
      <c r="DF50" s="371"/>
      <c r="DG50" s="371"/>
      <c r="DH50" s="371"/>
      <c r="DI50" s="371"/>
      <c r="DJ50" s="371"/>
      <c r="DK50" s="371"/>
      <c r="DL50" s="371"/>
      <c r="DM50" s="371"/>
      <c r="DN50" s="371"/>
      <c r="DO50" s="371"/>
      <c r="DP50" s="371"/>
      <c r="DQ50" s="371"/>
      <c r="DR50" s="371"/>
    </row>
    <row r="51" spans="1:122" ht="18.75" x14ac:dyDescent="0.3">
      <c r="A51" s="325">
        <v>48833</v>
      </c>
      <c r="B51" s="326">
        <v>26</v>
      </c>
      <c r="C51" s="327" t="s">
        <v>1100</v>
      </c>
      <c r="D51" s="424" t="s">
        <v>834</v>
      </c>
      <c r="E51" s="328"/>
      <c r="F51" s="173"/>
      <c r="G51" s="173"/>
      <c r="H51" s="425" t="s">
        <v>834</v>
      </c>
      <c r="I51" s="168"/>
      <c r="J51" s="173">
        <v>5.6</v>
      </c>
      <c r="K51" s="371" t="s">
        <v>1101</v>
      </c>
      <c r="L51" s="426" t="s">
        <v>834</v>
      </c>
      <c r="M51" s="427"/>
      <c r="N51" s="173" t="s">
        <v>834</v>
      </c>
      <c r="O51" s="171"/>
      <c r="P51" s="385" t="s">
        <v>834</v>
      </c>
      <c r="Q51" s="427"/>
      <c r="R51" s="374">
        <v>0.39800000000000002</v>
      </c>
      <c r="S51" s="168" t="s">
        <v>837</v>
      </c>
      <c r="T51" s="428" t="s">
        <v>834</v>
      </c>
      <c r="U51" s="376"/>
      <c r="V51" s="429" t="s">
        <v>834</v>
      </c>
      <c r="W51" s="377" t="s">
        <v>992</v>
      </c>
      <c r="X51" s="167" t="s">
        <v>834</v>
      </c>
      <c r="Y51" s="168" t="s">
        <v>1076</v>
      </c>
      <c r="Z51" s="373" t="s">
        <v>834</v>
      </c>
      <c r="AA51" s="168" t="s">
        <v>1102</v>
      </c>
      <c r="AB51" s="167" t="s">
        <v>834</v>
      </c>
      <c r="AC51" s="168"/>
      <c r="AD51" s="430" t="s">
        <v>834</v>
      </c>
      <c r="AE51" s="168"/>
      <c r="AF51" s="173" t="s">
        <v>834</v>
      </c>
      <c r="AG51" s="171"/>
      <c r="AH51" s="167" t="s">
        <v>834</v>
      </c>
      <c r="AI51" s="168"/>
      <c r="AJ51" s="373" t="s">
        <v>834</v>
      </c>
      <c r="AK51" s="431" t="s">
        <v>1103</v>
      </c>
      <c r="AL51" s="167" t="s">
        <v>834</v>
      </c>
      <c r="AM51" s="168"/>
      <c r="AN51" s="173" t="s">
        <v>834</v>
      </c>
      <c r="AO51" s="171"/>
      <c r="AP51" s="432" t="s">
        <v>834</v>
      </c>
      <c r="AQ51" s="168"/>
      <c r="AR51" s="173" t="s">
        <v>834</v>
      </c>
      <c r="AS51" s="171"/>
      <c r="AT51" s="173" t="s">
        <v>834</v>
      </c>
      <c r="AU51" s="171"/>
      <c r="AV51" s="381" t="s">
        <v>834</v>
      </c>
      <c r="AW51" s="167"/>
      <c r="AX51" s="433" t="s">
        <v>834</v>
      </c>
      <c r="AY51" s="427"/>
      <c r="AZ51" s="167" t="s">
        <v>834</v>
      </c>
      <c r="BA51" s="427"/>
      <c r="BB51" s="164" t="s">
        <v>834</v>
      </c>
      <c r="BC51" s="167"/>
      <c r="BD51" s="464" t="s">
        <v>546</v>
      </c>
      <c r="BE51" s="427"/>
      <c r="BF51" s="384" t="s">
        <v>834</v>
      </c>
      <c r="BG51" s="168"/>
      <c r="BH51" s="432" t="s">
        <v>834</v>
      </c>
      <c r="BI51" s="167"/>
      <c r="BJ51" s="167"/>
      <c r="BK51" s="167"/>
      <c r="BL51" s="167" t="s">
        <v>834</v>
      </c>
      <c r="BM51" s="167"/>
      <c r="BN51" s="173">
        <v>5.125</v>
      </c>
      <c r="BO51" s="171"/>
      <c r="BP51" s="435">
        <v>4</v>
      </c>
      <c r="BQ51" s="436" t="s">
        <v>1104</v>
      </c>
      <c r="BR51" s="167" t="s">
        <v>834</v>
      </c>
      <c r="BS51" s="167"/>
      <c r="BT51" s="167" t="s">
        <v>834</v>
      </c>
      <c r="BU51" s="167"/>
      <c r="BV51" s="167" t="s">
        <v>834</v>
      </c>
      <c r="BW51" s="167"/>
      <c r="BX51" s="437" t="s">
        <v>834</v>
      </c>
      <c r="BY51" s="171"/>
      <c r="BZ51" s="432"/>
      <c r="CA51" s="168"/>
      <c r="CB51" s="167" t="s">
        <v>834</v>
      </c>
      <c r="CC51" s="167"/>
      <c r="CD51" s="173" t="s">
        <v>834</v>
      </c>
      <c r="CE51" s="171"/>
      <c r="CF51" s="167" t="s">
        <v>834</v>
      </c>
      <c r="CG51" s="175"/>
      <c r="CH51" s="167">
        <v>4.5</v>
      </c>
      <c r="CI51" s="168"/>
      <c r="CJ51" s="167" t="s">
        <v>834</v>
      </c>
      <c r="CK51" s="168"/>
      <c r="CL51" s="385" t="s">
        <v>834</v>
      </c>
      <c r="CM51" s="168"/>
      <c r="CN51" s="385" t="s">
        <v>834</v>
      </c>
      <c r="CO51" s="168" t="s">
        <v>1105</v>
      </c>
      <c r="CP51" s="167" t="s">
        <v>834</v>
      </c>
      <c r="CQ51" s="167"/>
      <c r="CR51" s="373" t="s">
        <v>834</v>
      </c>
      <c r="CS51" s="373"/>
      <c r="CT51" s="164">
        <v>1.9259999999999999</v>
      </c>
      <c r="CU51" s="168" t="s">
        <v>1106</v>
      </c>
      <c r="CV51" s="432">
        <v>6</v>
      </c>
      <c r="CW51" s="168"/>
      <c r="CX51" s="168">
        <v>5</v>
      </c>
      <c r="CY51" s="168" t="s">
        <v>1107</v>
      </c>
      <c r="CZ51" s="173" t="s">
        <v>834</v>
      </c>
      <c r="DA51" s="171" t="s">
        <v>1098</v>
      </c>
      <c r="DB51" s="371" t="s">
        <v>546</v>
      </c>
      <c r="DC51" s="371">
        <f t="shared" si="4"/>
        <v>8</v>
      </c>
      <c r="DD51" s="371"/>
      <c r="DE51" s="371"/>
      <c r="DF51" s="371"/>
      <c r="DG51" s="371"/>
      <c r="DH51" s="371"/>
      <c r="DI51" s="371"/>
      <c r="DJ51" s="371"/>
      <c r="DK51" s="371"/>
      <c r="DL51" s="371"/>
      <c r="DM51" s="371"/>
      <c r="DN51" s="371"/>
      <c r="DO51" s="371"/>
      <c r="DP51" s="371"/>
      <c r="DQ51" s="371"/>
      <c r="DR51" s="371"/>
    </row>
    <row r="52" spans="1:122" ht="18.75" x14ac:dyDescent="0.3">
      <c r="A52" s="325">
        <v>56151</v>
      </c>
      <c r="B52" s="326">
        <v>27</v>
      </c>
      <c r="C52" s="327" t="s">
        <v>1108</v>
      </c>
      <c r="D52" s="424" t="s">
        <v>834</v>
      </c>
      <c r="E52" s="328"/>
      <c r="F52" s="173"/>
      <c r="G52" s="173"/>
      <c r="H52" s="425" t="s">
        <v>834</v>
      </c>
      <c r="I52" s="168"/>
      <c r="J52" s="173" t="s">
        <v>834</v>
      </c>
      <c r="K52" s="371"/>
      <c r="L52" s="426" t="s">
        <v>834</v>
      </c>
      <c r="M52" s="427"/>
      <c r="N52" s="173" t="s">
        <v>834</v>
      </c>
      <c r="O52" s="171"/>
      <c r="P52" s="385" t="s">
        <v>834</v>
      </c>
      <c r="Q52" s="427"/>
      <c r="R52" s="374" t="s">
        <v>834</v>
      </c>
      <c r="S52" s="168" t="s">
        <v>1109</v>
      </c>
      <c r="T52" s="428" t="s">
        <v>834</v>
      </c>
      <c r="U52" s="376"/>
      <c r="V52" s="429" t="s">
        <v>834</v>
      </c>
      <c r="W52" s="377" t="s">
        <v>992</v>
      </c>
      <c r="X52" s="167" t="s">
        <v>834</v>
      </c>
      <c r="Y52" s="168" t="s">
        <v>856</v>
      </c>
      <c r="Z52" s="373">
        <v>4</v>
      </c>
      <c r="AA52" s="168" t="s">
        <v>1110</v>
      </c>
      <c r="AB52" s="167" t="s">
        <v>834</v>
      </c>
      <c r="AC52" s="168"/>
      <c r="AD52" s="430" t="s">
        <v>834</v>
      </c>
      <c r="AE52" s="168"/>
      <c r="AF52" s="173" t="s">
        <v>834</v>
      </c>
      <c r="AG52" s="171"/>
      <c r="AH52" s="167" t="s">
        <v>834</v>
      </c>
      <c r="AI52" s="168"/>
      <c r="AJ52" s="373" t="s">
        <v>834</v>
      </c>
      <c r="AK52" s="431"/>
      <c r="AL52" s="167" t="s">
        <v>834</v>
      </c>
      <c r="AM52" s="168"/>
      <c r="AN52" s="173" t="s">
        <v>834</v>
      </c>
      <c r="AO52" s="171"/>
      <c r="AP52" s="432" t="s">
        <v>834</v>
      </c>
      <c r="AQ52" s="168"/>
      <c r="AR52" s="173" t="s">
        <v>834</v>
      </c>
      <c r="AS52" s="171"/>
      <c r="AT52" s="173" t="s">
        <v>834</v>
      </c>
      <c r="AU52" s="171"/>
      <c r="AV52" s="381" t="s">
        <v>834</v>
      </c>
      <c r="AW52" s="168"/>
      <c r="AX52" s="433" t="s">
        <v>834</v>
      </c>
      <c r="AY52" s="427"/>
      <c r="AZ52" s="167" t="s">
        <v>834</v>
      </c>
      <c r="BA52" s="427"/>
      <c r="BB52" s="164" t="s">
        <v>834</v>
      </c>
      <c r="BC52" s="168"/>
      <c r="BD52" s="464" t="s">
        <v>546</v>
      </c>
      <c r="BE52" s="427"/>
      <c r="BF52" s="384" t="s">
        <v>834</v>
      </c>
      <c r="BG52" s="168"/>
      <c r="BH52" s="432" t="s">
        <v>834</v>
      </c>
      <c r="BI52" s="168"/>
      <c r="BJ52" s="167"/>
      <c r="BK52" s="167"/>
      <c r="BL52" s="167" t="s">
        <v>834</v>
      </c>
      <c r="BM52" s="168"/>
      <c r="BN52" s="173">
        <v>5.125</v>
      </c>
      <c r="BO52" s="171" t="s">
        <v>1111</v>
      </c>
      <c r="BP52" s="435" t="s">
        <v>834</v>
      </c>
      <c r="BQ52" s="436"/>
      <c r="BR52" s="167" t="s">
        <v>834</v>
      </c>
      <c r="BS52" s="168"/>
      <c r="BT52" s="167" t="s">
        <v>834</v>
      </c>
      <c r="BU52" s="168"/>
      <c r="BV52" s="167" t="s">
        <v>834</v>
      </c>
      <c r="BW52" s="168"/>
      <c r="BX52" s="437" t="s">
        <v>834</v>
      </c>
      <c r="BY52" s="171" t="s">
        <v>1112</v>
      </c>
      <c r="BZ52" s="432" t="s">
        <v>546</v>
      </c>
      <c r="CA52" s="168"/>
      <c r="CB52" s="167" t="s">
        <v>834</v>
      </c>
      <c r="CC52" s="168"/>
      <c r="CD52" s="173" t="s">
        <v>834</v>
      </c>
      <c r="CE52" s="171"/>
      <c r="CF52" s="167" t="s">
        <v>834</v>
      </c>
      <c r="CG52" s="175"/>
      <c r="CH52" s="167" t="s">
        <v>834</v>
      </c>
      <c r="CI52" s="168"/>
      <c r="CJ52" s="167" t="s">
        <v>834</v>
      </c>
      <c r="CK52" s="168"/>
      <c r="CL52" s="385" t="s">
        <v>834</v>
      </c>
      <c r="CM52" s="168"/>
      <c r="CN52" s="385" t="s">
        <v>834</v>
      </c>
      <c r="CO52" s="168"/>
      <c r="CP52" s="167" t="s">
        <v>834</v>
      </c>
      <c r="CQ52" s="168"/>
      <c r="CR52" s="373" t="s">
        <v>834</v>
      </c>
      <c r="CS52" s="427"/>
      <c r="CT52" s="164">
        <v>0.27500000000000002</v>
      </c>
      <c r="CU52" s="168" t="s">
        <v>1113</v>
      </c>
      <c r="CV52" s="432">
        <v>6</v>
      </c>
      <c r="CW52" s="168"/>
      <c r="CX52" s="168" t="s">
        <v>834</v>
      </c>
      <c r="CY52" s="168" t="s">
        <v>1114</v>
      </c>
      <c r="CZ52" s="173" t="s">
        <v>834</v>
      </c>
      <c r="DA52" s="171"/>
      <c r="DB52" s="371"/>
      <c r="DC52" s="371">
        <f t="shared" si="4"/>
        <v>4</v>
      </c>
      <c r="DD52" s="371"/>
      <c r="DE52" s="371"/>
      <c r="DF52" s="371"/>
      <c r="DG52" s="371"/>
      <c r="DH52" s="371"/>
      <c r="DI52" s="371"/>
      <c r="DJ52" s="371"/>
      <c r="DK52" s="371"/>
      <c r="DL52" s="371"/>
      <c r="DM52" s="371"/>
      <c r="DN52" s="371"/>
      <c r="DO52" s="371"/>
      <c r="DP52" s="371"/>
      <c r="DQ52" s="371"/>
      <c r="DR52" s="371"/>
    </row>
    <row r="53" spans="1:122" ht="18.75" x14ac:dyDescent="0.3">
      <c r="A53" s="325">
        <v>488991</v>
      </c>
      <c r="B53" s="326">
        <v>28</v>
      </c>
      <c r="C53" s="327" t="s">
        <v>1115</v>
      </c>
      <c r="D53" s="424" t="s">
        <v>834</v>
      </c>
      <c r="E53" s="328"/>
      <c r="F53" s="173"/>
      <c r="G53" s="173"/>
      <c r="H53" s="425" t="s">
        <v>834</v>
      </c>
      <c r="I53" s="168"/>
      <c r="J53" s="173" t="s">
        <v>834</v>
      </c>
      <c r="K53" s="371" t="s">
        <v>1116</v>
      </c>
      <c r="L53" s="426" t="s">
        <v>834</v>
      </c>
      <c r="M53" s="427" t="s">
        <v>546</v>
      </c>
      <c r="N53" s="173" t="s">
        <v>834</v>
      </c>
      <c r="O53" s="171"/>
      <c r="P53" s="385">
        <v>6.35</v>
      </c>
      <c r="Q53" s="473" t="s">
        <v>1117</v>
      </c>
      <c r="R53" s="374">
        <v>0.39800000000000002</v>
      </c>
      <c r="S53" s="168" t="s">
        <v>837</v>
      </c>
      <c r="T53" s="428" t="s">
        <v>834</v>
      </c>
      <c r="U53" s="376"/>
      <c r="V53" s="429" t="s">
        <v>834</v>
      </c>
      <c r="W53" s="377" t="s">
        <v>992</v>
      </c>
      <c r="X53" s="167" t="s">
        <v>834</v>
      </c>
      <c r="Y53" s="168"/>
      <c r="Z53" s="373">
        <v>4</v>
      </c>
      <c r="AA53" s="168" t="s">
        <v>1118</v>
      </c>
      <c r="AB53" s="167" t="s">
        <v>834</v>
      </c>
      <c r="AC53" s="168"/>
      <c r="AD53" s="430" t="s">
        <v>834</v>
      </c>
      <c r="AE53" s="168"/>
      <c r="AF53" s="173" t="s">
        <v>834</v>
      </c>
      <c r="AG53" s="171"/>
      <c r="AH53" s="373">
        <v>6</v>
      </c>
      <c r="AI53" s="453" t="s">
        <v>1119</v>
      </c>
      <c r="AJ53" s="425">
        <v>6.5</v>
      </c>
      <c r="AK53" s="431" t="s">
        <v>1120</v>
      </c>
      <c r="AL53" s="167" t="s">
        <v>834</v>
      </c>
      <c r="AM53" s="168"/>
      <c r="AN53" s="173" t="s">
        <v>834</v>
      </c>
      <c r="AO53" s="171"/>
      <c r="AP53" s="432" t="s">
        <v>834</v>
      </c>
      <c r="AQ53" s="168"/>
      <c r="AR53" s="173">
        <v>6</v>
      </c>
      <c r="AS53" s="171"/>
      <c r="AT53" s="173" t="s">
        <v>834</v>
      </c>
      <c r="AU53" s="171"/>
      <c r="AV53" s="381" t="s">
        <v>834</v>
      </c>
      <c r="AW53" s="168"/>
      <c r="AX53" s="433" t="s">
        <v>834</v>
      </c>
      <c r="AY53" s="427" t="s">
        <v>1121</v>
      </c>
      <c r="AZ53" s="167" t="s">
        <v>834</v>
      </c>
      <c r="BA53" s="427"/>
      <c r="BB53" s="164" t="s">
        <v>834</v>
      </c>
      <c r="BC53" s="168"/>
      <c r="BD53" s="464" t="s">
        <v>546</v>
      </c>
      <c r="BE53" s="427"/>
      <c r="BF53" s="384" t="s">
        <v>834</v>
      </c>
      <c r="BG53" s="168"/>
      <c r="BH53" s="432" t="s">
        <v>834</v>
      </c>
      <c r="BI53" s="168"/>
      <c r="BJ53" s="167"/>
      <c r="BK53" s="167"/>
      <c r="BL53" s="167" t="s">
        <v>834</v>
      </c>
      <c r="BM53" s="168" t="s">
        <v>1122</v>
      </c>
      <c r="BN53" s="173">
        <v>5.125</v>
      </c>
      <c r="BO53" s="171"/>
      <c r="BP53" s="435" t="s">
        <v>834</v>
      </c>
      <c r="BQ53" s="436"/>
      <c r="BR53" s="167" t="s">
        <v>834</v>
      </c>
      <c r="BS53" s="168" t="s">
        <v>1123</v>
      </c>
      <c r="BT53" s="167" t="s">
        <v>834</v>
      </c>
      <c r="BU53" s="168" t="s">
        <v>883</v>
      </c>
      <c r="BV53" s="167" t="s">
        <v>834</v>
      </c>
      <c r="BW53" s="168" t="s">
        <v>1124</v>
      </c>
      <c r="BX53" s="437" t="s">
        <v>834</v>
      </c>
      <c r="BY53" s="171" t="s">
        <v>1125</v>
      </c>
      <c r="BZ53" s="432" t="s">
        <v>546</v>
      </c>
      <c r="CA53" s="168"/>
      <c r="CB53" s="167" t="s">
        <v>995</v>
      </c>
      <c r="CC53" s="168"/>
      <c r="CD53" s="173" t="s">
        <v>834</v>
      </c>
      <c r="CE53" s="171"/>
      <c r="CF53" s="167" t="s">
        <v>834</v>
      </c>
      <c r="CG53" s="175"/>
      <c r="CH53" s="167">
        <v>4.5</v>
      </c>
      <c r="CI53" s="168"/>
      <c r="CJ53" s="167">
        <v>7</v>
      </c>
      <c r="CK53" s="175" t="s">
        <v>1126</v>
      </c>
      <c r="CL53" s="385" t="s">
        <v>834</v>
      </c>
      <c r="CM53" s="168"/>
      <c r="CN53" s="385" t="s">
        <v>834</v>
      </c>
      <c r="CO53" s="168"/>
      <c r="CP53" s="167" t="s">
        <v>834</v>
      </c>
      <c r="CQ53" s="168"/>
      <c r="CR53" s="373" t="s">
        <v>834</v>
      </c>
      <c r="CS53" s="427"/>
      <c r="CT53" s="432">
        <v>1.5</v>
      </c>
      <c r="CU53" s="168" t="s">
        <v>840</v>
      </c>
      <c r="CV53" s="432">
        <v>6</v>
      </c>
      <c r="CW53" s="168"/>
      <c r="CX53" s="168" t="s">
        <v>834</v>
      </c>
      <c r="CY53" s="168"/>
      <c r="CZ53" s="173" t="s">
        <v>834</v>
      </c>
      <c r="DA53" s="171"/>
      <c r="DB53" s="371"/>
      <c r="DC53" s="371">
        <f t="shared" si="4"/>
        <v>11</v>
      </c>
      <c r="DD53" s="371"/>
      <c r="DE53" s="371"/>
      <c r="DF53" s="371"/>
      <c r="DG53" s="371"/>
      <c r="DH53" s="371"/>
      <c r="DI53" s="371"/>
      <c r="DJ53" s="371"/>
      <c r="DK53" s="371"/>
      <c r="DL53" s="371"/>
      <c r="DM53" s="371"/>
      <c r="DN53" s="371"/>
      <c r="DO53" s="371"/>
      <c r="DP53" s="371"/>
      <c r="DQ53" s="371"/>
      <c r="DR53" s="371"/>
    </row>
    <row r="54" spans="1:122" ht="18.75" x14ac:dyDescent="0.3">
      <c r="A54" s="325"/>
      <c r="B54" s="326"/>
      <c r="C54" s="327"/>
      <c r="D54" s="424"/>
      <c r="E54" s="328"/>
      <c r="F54" s="173"/>
      <c r="G54" s="173"/>
      <c r="H54" s="425"/>
      <c r="I54" s="168"/>
      <c r="J54" s="173"/>
      <c r="K54" s="371"/>
      <c r="L54" s="426"/>
      <c r="M54" s="427"/>
      <c r="N54" s="173"/>
      <c r="O54" s="171"/>
      <c r="P54" s="385"/>
      <c r="Q54" s="427"/>
      <c r="R54" s="374"/>
      <c r="S54" s="444"/>
      <c r="T54" s="428"/>
      <c r="U54" s="376"/>
      <c r="V54" s="429"/>
      <c r="W54" s="377"/>
      <c r="X54" s="167"/>
      <c r="Y54" s="168"/>
      <c r="Z54" s="167"/>
      <c r="AA54" s="168"/>
      <c r="AB54" s="167"/>
      <c r="AC54" s="168"/>
      <c r="AD54" s="430" t="s">
        <v>546</v>
      </c>
      <c r="AE54" s="168"/>
      <c r="AF54" s="173"/>
      <c r="AG54" s="171"/>
      <c r="AH54" s="167"/>
      <c r="AI54" s="168"/>
      <c r="AJ54" s="373"/>
      <c r="AK54" s="431"/>
      <c r="AL54" s="167"/>
      <c r="AM54" s="168"/>
      <c r="AN54" s="173"/>
      <c r="AO54" s="171"/>
      <c r="AP54" s="432"/>
      <c r="AQ54" s="168"/>
      <c r="AR54" s="173"/>
      <c r="AS54" s="171"/>
      <c r="AT54" s="173"/>
      <c r="AU54" s="171"/>
      <c r="AV54" s="381"/>
      <c r="AW54" s="168"/>
      <c r="AX54" s="433"/>
      <c r="AY54" s="427"/>
      <c r="AZ54" s="167"/>
      <c r="BA54" s="427"/>
      <c r="BB54" s="164"/>
      <c r="BC54" s="168"/>
      <c r="BD54" s="464"/>
      <c r="BE54" s="427"/>
      <c r="BF54" s="384"/>
      <c r="BG54" s="168"/>
      <c r="BH54" s="432"/>
      <c r="BI54" s="168"/>
      <c r="BJ54" s="167"/>
      <c r="BK54" s="167"/>
      <c r="BL54" s="167"/>
      <c r="BM54" s="168"/>
      <c r="BN54" s="173"/>
      <c r="BO54" s="171"/>
      <c r="BP54" s="435"/>
      <c r="BQ54" s="436"/>
      <c r="BR54" s="167"/>
      <c r="BS54" s="168"/>
      <c r="BT54" s="167"/>
      <c r="BU54" s="168"/>
      <c r="BV54" s="167"/>
      <c r="BW54" s="168"/>
      <c r="BX54" s="437"/>
      <c r="BY54" s="171"/>
      <c r="BZ54" s="432"/>
      <c r="CA54" s="168"/>
      <c r="CB54" s="167"/>
      <c r="CC54" s="168"/>
      <c r="CD54" s="173"/>
      <c r="CE54" s="171"/>
      <c r="CF54" s="167"/>
      <c r="CG54" s="175"/>
      <c r="CH54" s="167"/>
      <c r="CI54" s="168"/>
      <c r="CJ54" s="167"/>
      <c r="CK54" s="168"/>
      <c r="CL54" s="385"/>
      <c r="CM54" s="168"/>
      <c r="CN54" s="385"/>
      <c r="CO54" s="168"/>
      <c r="CP54" s="167"/>
      <c r="CQ54" s="168"/>
      <c r="CR54" s="373"/>
      <c r="CS54" s="427"/>
      <c r="CT54" s="432"/>
      <c r="CU54" s="168"/>
      <c r="CV54" s="432"/>
      <c r="CW54" s="168"/>
      <c r="CX54" s="168"/>
      <c r="CY54" s="168"/>
      <c r="CZ54" s="173"/>
      <c r="DA54" s="171"/>
      <c r="DB54" s="371"/>
      <c r="DC54" s="371"/>
      <c r="DD54" s="371"/>
      <c r="DE54" s="371"/>
      <c r="DF54" s="371"/>
      <c r="DG54" s="371"/>
      <c r="DH54" s="371"/>
      <c r="DI54" s="371"/>
      <c r="DJ54" s="371"/>
      <c r="DK54" s="371"/>
      <c r="DL54" s="371"/>
      <c r="DM54" s="371"/>
      <c r="DN54" s="371"/>
      <c r="DO54" s="371"/>
      <c r="DP54" s="371"/>
      <c r="DQ54" s="371"/>
      <c r="DR54" s="371"/>
    </row>
    <row r="55" spans="1:122" ht="18.75" x14ac:dyDescent="0.3">
      <c r="A55" s="389"/>
      <c r="B55" s="390"/>
      <c r="C55" s="391" t="s">
        <v>1127</v>
      </c>
      <c r="D55" s="392" t="s">
        <v>832</v>
      </c>
      <c r="E55" s="393"/>
      <c r="F55" s="394" t="s">
        <v>832</v>
      </c>
      <c r="G55" s="394"/>
      <c r="H55" s="394" t="s">
        <v>832</v>
      </c>
      <c r="I55" s="170"/>
      <c r="J55" s="438" t="s">
        <v>832</v>
      </c>
      <c r="K55" s="397"/>
      <c r="L55" s="438" t="s">
        <v>832</v>
      </c>
      <c r="M55" s="401"/>
      <c r="N55" s="400" t="s">
        <v>832</v>
      </c>
      <c r="O55" s="172"/>
      <c r="P55" s="400" t="s">
        <v>832</v>
      </c>
      <c r="Q55" s="401"/>
      <c r="R55" s="400" t="s">
        <v>832</v>
      </c>
      <c r="S55" s="451"/>
      <c r="T55" s="400" t="s">
        <v>832</v>
      </c>
      <c r="U55" s="404"/>
      <c r="V55" s="400" t="s">
        <v>832</v>
      </c>
      <c r="W55" s="406"/>
      <c r="X55" s="400" t="s">
        <v>832</v>
      </c>
      <c r="Y55" s="170"/>
      <c r="Z55" s="400" t="s">
        <v>832</v>
      </c>
      <c r="AA55" s="170"/>
      <c r="AB55" s="400" t="s">
        <v>832</v>
      </c>
      <c r="AC55" s="170"/>
      <c r="AD55" s="408" t="s">
        <v>832</v>
      </c>
      <c r="AE55" s="170"/>
      <c r="AF55" s="408" t="s">
        <v>832</v>
      </c>
      <c r="AG55" s="172"/>
      <c r="AH55" s="408" t="s">
        <v>832</v>
      </c>
      <c r="AI55" s="170"/>
      <c r="AJ55" s="408" t="s">
        <v>832</v>
      </c>
      <c r="AK55" s="409"/>
      <c r="AL55" s="408" t="s">
        <v>832</v>
      </c>
      <c r="AM55" s="170"/>
      <c r="AN55" s="438" t="s">
        <v>832</v>
      </c>
      <c r="AO55" s="172"/>
      <c r="AP55" s="408" t="s">
        <v>832</v>
      </c>
      <c r="AQ55" s="170"/>
      <c r="AR55" s="438" t="s">
        <v>832</v>
      </c>
      <c r="AS55" s="172"/>
      <c r="AT55" s="438" t="s">
        <v>832</v>
      </c>
      <c r="AU55" s="172"/>
      <c r="AV55" s="408" t="s">
        <v>832</v>
      </c>
      <c r="AW55" s="170"/>
      <c r="AX55" s="408" t="s">
        <v>832</v>
      </c>
      <c r="AY55" s="401"/>
      <c r="AZ55" s="408" t="s">
        <v>832</v>
      </c>
      <c r="BA55" s="401"/>
      <c r="BB55" s="408" t="s">
        <v>832</v>
      </c>
      <c r="BC55" s="170"/>
      <c r="BD55" s="408" t="s">
        <v>832</v>
      </c>
      <c r="BE55" s="401"/>
      <c r="BF55" s="407" t="s">
        <v>832</v>
      </c>
      <c r="BG55" s="170"/>
      <c r="BH55" s="408" t="s">
        <v>832</v>
      </c>
      <c r="BI55" s="170"/>
      <c r="BJ55" s="407" t="s">
        <v>832</v>
      </c>
      <c r="BK55" s="407"/>
      <c r="BL55" s="408" t="s">
        <v>832</v>
      </c>
      <c r="BM55" s="170"/>
      <c r="BN55" s="438" t="s">
        <v>832</v>
      </c>
      <c r="BO55" s="172"/>
      <c r="BP55" s="408" t="s">
        <v>832</v>
      </c>
      <c r="BQ55" s="419"/>
      <c r="BR55" s="407" t="s">
        <v>832</v>
      </c>
      <c r="BS55" s="170"/>
      <c r="BT55" s="408" t="s">
        <v>832</v>
      </c>
      <c r="BU55" s="170"/>
      <c r="BV55" s="407" t="s">
        <v>832</v>
      </c>
      <c r="BW55" s="170"/>
      <c r="BX55" s="438" t="s">
        <v>832</v>
      </c>
      <c r="BY55" s="172"/>
      <c r="BZ55" s="408" t="s">
        <v>832</v>
      </c>
      <c r="CA55" s="170"/>
      <c r="CB55" s="408" t="s">
        <v>832</v>
      </c>
      <c r="CC55" s="170"/>
      <c r="CD55" s="408" t="s">
        <v>832</v>
      </c>
      <c r="CE55" s="172"/>
      <c r="CF55" s="408" t="s">
        <v>832</v>
      </c>
      <c r="CG55" s="399"/>
      <c r="CH55" s="408" t="s">
        <v>832</v>
      </c>
      <c r="CI55" s="170"/>
      <c r="CJ55" s="408" t="s">
        <v>832</v>
      </c>
      <c r="CK55" s="170"/>
      <c r="CL55" s="408" t="s">
        <v>832</v>
      </c>
      <c r="CM55" s="170"/>
      <c r="CN55" s="408" t="s">
        <v>832</v>
      </c>
      <c r="CO55" s="170"/>
      <c r="CP55" s="408" t="s">
        <v>832</v>
      </c>
      <c r="CQ55" s="170"/>
      <c r="CR55" s="408" t="s">
        <v>832</v>
      </c>
      <c r="CS55" s="401"/>
      <c r="CT55" s="408" t="s">
        <v>832</v>
      </c>
      <c r="CU55" s="170"/>
      <c r="CV55" s="408" t="s">
        <v>832</v>
      </c>
      <c r="CW55" s="170"/>
      <c r="CX55" s="408" t="s">
        <v>832</v>
      </c>
      <c r="CY55" s="170"/>
      <c r="CZ55" s="408" t="s">
        <v>832</v>
      </c>
      <c r="DA55" s="172"/>
      <c r="DB55" s="397"/>
      <c r="DC55" s="397"/>
      <c r="DD55" s="397"/>
      <c r="DE55" s="397"/>
      <c r="DF55" s="397"/>
      <c r="DG55" s="397"/>
      <c r="DH55" s="397"/>
      <c r="DI55" s="397"/>
      <c r="DJ55" s="397"/>
      <c r="DK55" s="397"/>
      <c r="DL55" s="397"/>
      <c r="DM55" s="397"/>
      <c r="DN55" s="397"/>
      <c r="DO55" s="397"/>
      <c r="DP55" s="397"/>
      <c r="DQ55" s="397"/>
      <c r="DR55" s="397"/>
    </row>
    <row r="56" spans="1:122" ht="18.75" x14ac:dyDescent="0.3">
      <c r="A56" s="325">
        <v>5171</v>
      </c>
      <c r="B56" s="326">
        <v>29</v>
      </c>
      <c r="C56" s="327" t="s">
        <v>1128</v>
      </c>
      <c r="D56" s="424">
        <v>6</v>
      </c>
      <c r="E56" s="328" t="s">
        <v>1129</v>
      </c>
      <c r="F56" s="173" t="s">
        <v>546</v>
      </c>
      <c r="G56" s="173"/>
      <c r="H56" s="425">
        <v>6.5</v>
      </c>
      <c r="I56" s="168" t="s">
        <v>1130</v>
      </c>
      <c r="J56" s="173">
        <v>5.6</v>
      </c>
      <c r="K56" s="371" t="s">
        <v>1131</v>
      </c>
      <c r="L56" s="426" t="s">
        <v>834</v>
      </c>
      <c r="M56" s="427" t="s">
        <v>1132</v>
      </c>
      <c r="N56" s="173">
        <v>2.9</v>
      </c>
      <c r="O56" s="171"/>
      <c r="P56" s="385">
        <v>6.35</v>
      </c>
      <c r="Q56" s="427" t="s">
        <v>1133</v>
      </c>
      <c r="R56" s="474">
        <v>5</v>
      </c>
      <c r="S56" s="444"/>
      <c r="T56" s="428">
        <v>5.75</v>
      </c>
      <c r="U56" s="470" t="s">
        <v>1134</v>
      </c>
      <c r="V56" s="441">
        <v>7.44</v>
      </c>
      <c r="W56" s="377" t="s">
        <v>1135</v>
      </c>
      <c r="X56" s="167">
        <v>4</v>
      </c>
      <c r="Y56" s="168" t="s">
        <v>1136</v>
      </c>
      <c r="Z56" s="165">
        <v>5.8849999999999998</v>
      </c>
      <c r="AA56" s="168" t="s">
        <v>1137</v>
      </c>
      <c r="AB56" s="167" t="s">
        <v>834</v>
      </c>
      <c r="AC56" s="168"/>
      <c r="AD56" s="430">
        <v>7</v>
      </c>
      <c r="AE56" s="168"/>
      <c r="AF56" s="173">
        <v>7</v>
      </c>
      <c r="AG56" s="171"/>
      <c r="AH56" s="167">
        <v>6</v>
      </c>
      <c r="AI56" s="168"/>
      <c r="AJ56" s="373">
        <v>6.5</v>
      </c>
      <c r="AK56" s="431" t="s">
        <v>863</v>
      </c>
      <c r="AL56" s="167" t="s">
        <v>995</v>
      </c>
      <c r="AM56" s="168" t="s">
        <v>1138</v>
      </c>
      <c r="AN56" s="173">
        <v>3</v>
      </c>
      <c r="AO56" s="171"/>
      <c r="AP56" s="475">
        <v>6</v>
      </c>
      <c r="AQ56" s="453" t="s">
        <v>1139</v>
      </c>
      <c r="AR56" s="173" t="s">
        <v>834</v>
      </c>
      <c r="AS56" s="171"/>
      <c r="AT56" s="173">
        <v>6.25</v>
      </c>
      <c r="AU56" s="171"/>
      <c r="AV56" s="381">
        <v>6</v>
      </c>
      <c r="AW56" s="168" t="s">
        <v>1140</v>
      </c>
      <c r="AX56" s="433">
        <v>6.875</v>
      </c>
      <c r="AY56" s="427"/>
      <c r="AZ56" s="167">
        <v>7</v>
      </c>
      <c r="BA56" s="427"/>
      <c r="BB56" s="164">
        <v>4.2249999999999996</v>
      </c>
      <c r="BC56" s="168" t="s">
        <v>546</v>
      </c>
      <c r="BD56" s="434">
        <v>3.7499999999999999E-2</v>
      </c>
      <c r="BE56" s="427" t="s">
        <v>1141</v>
      </c>
      <c r="BF56" s="384">
        <v>5.5</v>
      </c>
      <c r="BG56" s="168"/>
      <c r="BH56" s="432" t="s">
        <v>834</v>
      </c>
      <c r="BI56" s="168"/>
      <c r="BJ56" s="373">
        <v>7</v>
      </c>
      <c r="BK56" s="168" t="s">
        <v>1142</v>
      </c>
      <c r="BL56" s="167">
        <v>6.875</v>
      </c>
      <c r="BM56" s="168"/>
      <c r="BN56" s="173">
        <v>5.125</v>
      </c>
      <c r="BO56" s="171"/>
      <c r="BP56" s="435">
        <v>4</v>
      </c>
      <c r="BQ56" s="436"/>
      <c r="BR56" s="167">
        <v>7</v>
      </c>
      <c r="BS56" s="168"/>
      <c r="BT56" s="167">
        <v>5</v>
      </c>
      <c r="BU56" s="476" t="s">
        <v>1143</v>
      </c>
      <c r="BV56" s="429">
        <v>5.75</v>
      </c>
      <c r="BW56" s="168"/>
      <c r="BX56" s="437">
        <v>4.5</v>
      </c>
      <c r="BY56" s="171"/>
      <c r="BZ56" s="432"/>
      <c r="CA56" s="168" t="s">
        <v>1144</v>
      </c>
      <c r="CB56" s="167">
        <v>6</v>
      </c>
      <c r="CC56" s="477"/>
      <c r="CD56" s="173">
        <v>12</v>
      </c>
      <c r="CE56" s="171" t="s">
        <v>1145</v>
      </c>
      <c r="CF56" s="373">
        <v>6</v>
      </c>
      <c r="CG56" s="175" t="s">
        <v>1146</v>
      </c>
      <c r="CH56" s="167">
        <v>4.5</v>
      </c>
      <c r="CI56" s="168" t="s">
        <v>1147</v>
      </c>
      <c r="CJ56" s="167">
        <v>7</v>
      </c>
      <c r="CK56" s="444"/>
      <c r="CL56" s="385">
        <v>6.25</v>
      </c>
      <c r="CM56" s="168"/>
      <c r="CN56" s="445">
        <v>4.7</v>
      </c>
      <c r="CO56" s="168" t="s">
        <v>1148</v>
      </c>
      <c r="CP56" s="167">
        <v>6</v>
      </c>
      <c r="CQ56" s="168"/>
      <c r="CR56" s="373" t="s">
        <v>834</v>
      </c>
      <c r="CS56" s="454" t="s">
        <v>1149</v>
      </c>
      <c r="CT56" s="432">
        <v>6.5</v>
      </c>
      <c r="CU56" s="168" t="s">
        <v>985</v>
      </c>
      <c r="CV56" s="432" t="s">
        <v>834</v>
      </c>
      <c r="CW56" s="168"/>
      <c r="CX56" s="168">
        <v>5</v>
      </c>
      <c r="CY56" s="168"/>
      <c r="CZ56" s="173">
        <v>4</v>
      </c>
      <c r="DA56" s="171" t="s">
        <v>1150</v>
      </c>
      <c r="DB56" s="371" t="s">
        <v>546</v>
      </c>
      <c r="DC56" s="371">
        <f t="shared" ref="DC56:DC63" si="5">COUNT(D56:CZ56)</f>
        <v>42</v>
      </c>
      <c r="DD56" s="371"/>
      <c r="DE56" s="371"/>
      <c r="DF56" s="371"/>
      <c r="DG56" s="371"/>
      <c r="DH56" s="371"/>
      <c r="DI56" s="371"/>
      <c r="DJ56" s="371"/>
      <c r="DK56" s="371"/>
      <c r="DL56" s="371"/>
      <c r="DM56" s="371"/>
      <c r="DN56" s="371"/>
      <c r="DO56" s="371"/>
      <c r="DP56" s="371"/>
      <c r="DQ56" s="371"/>
      <c r="DR56" s="371"/>
    </row>
    <row r="57" spans="1:122" ht="18.75" x14ac:dyDescent="0.3">
      <c r="A57" s="325">
        <v>5171</v>
      </c>
      <c r="B57" s="326">
        <v>30</v>
      </c>
      <c r="C57" s="327" t="s">
        <v>1151</v>
      </c>
      <c r="D57" s="424" t="s">
        <v>834</v>
      </c>
      <c r="E57" s="328" t="s">
        <v>1152</v>
      </c>
      <c r="F57" s="173" t="s">
        <v>546</v>
      </c>
      <c r="G57" s="173"/>
      <c r="H57" s="425">
        <v>6.5</v>
      </c>
      <c r="I57" s="168" t="s">
        <v>1153</v>
      </c>
      <c r="J57" s="173" t="s">
        <v>834</v>
      </c>
      <c r="K57" s="371" t="s">
        <v>1154</v>
      </c>
      <c r="L57" s="426" t="s">
        <v>834</v>
      </c>
      <c r="M57" s="427"/>
      <c r="N57" s="173" t="s">
        <v>834</v>
      </c>
      <c r="O57" s="171" t="s">
        <v>1155</v>
      </c>
      <c r="P57" s="445">
        <v>6.35</v>
      </c>
      <c r="Q57" s="427" t="s">
        <v>1156</v>
      </c>
      <c r="R57" s="457" t="s">
        <v>834</v>
      </c>
      <c r="S57" s="444"/>
      <c r="T57" s="469">
        <v>11</v>
      </c>
      <c r="U57" s="470" t="s">
        <v>1157</v>
      </c>
      <c r="V57" s="441">
        <v>7.44</v>
      </c>
      <c r="W57" s="377" t="s">
        <v>1135</v>
      </c>
      <c r="X57" s="167" t="s">
        <v>834</v>
      </c>
      <c r="Y57" s="168" t="s">
        <v>856</v>
      </c>
      <c r="Z57" s="373">
        <v>4</v>
      </c>
      <c r="AA57" s="168" t="s">
        <v>1158</v>
      </c>
      <c r="AB57" s="167" t="s">
        <v>834</v>
      </c>
      <c r="AC57" s="168"/>
      <c r="AD57" s="430">
        <v>7</v>
      </c>
      <c r="AE57" s="168"/>
      <c r="AF57" s="173" t="s">
        <v>834</v>
      </c>
      <c r="AG57" s="171"/>
      <c r="AH57" s="167" t="s">
        <v>834</v>
      </c>
      <c r="AI57" s="168"/>
      <c r="AJ57" s="373">
        <v>6.5</v>
      </c>
      <c r="AK57" s="431" t="s">
        <v>863</v>
      </c>
      <c r="AL57" s="167" t="s">
        <v>995</v>
      </c>
      <c r="AM57" s="478" t="s">
        <v>1159</v>
      </c>
      <c r="AN57" s="173">
        <v>1</v>
      </c>
      <c r="AO57" s="171" t="s">
        <v>1160</v>
      </c>
      <c r="AP57" s="432" t="s">
        <v>834</v>
      </c>
      <c r="AQ57" s="453" t="s">
        <v>1161</v>
      </c>
      <c r="AR57" s="173" t="s">
        <v>834</v>
      </c>
      <c r="AS57" s="171"/>
      <c r="AT57" s="173">
        <v>6.25</v>
      </c>
      <c r="AU57" s="171"/>
      <c r="AV57" s="381">
        <v>6</v>
      </c>
      <c r="AW57" s="168" t="s">
        <v>1162</v>
      </c>
      <c r="AX57" s="433">
        <v>6.875</v>
      </c>
      <c r="AY57" s="427"/>
      <c r="AZ57" s="429">
        <v>7</v>
      </c>
      <c r="BA57" s="427"/>
      <c r="BB57" s="164" t="s">
        <v>834</v>
      </c>
      <c r="BC57" s="168"/>
      <c r="BD57" s="479"/>
      <c r="BE57" s="427"/>
      <c r="BF57" s="384" t="s">
        <v>834</v>
      </c>
      <c r="BG57" s="168"/>
      <c r="BH57" s="432" t="s">
        <v>834</v>
      </c>
      <c r="BI57" s="168"/>
      <c r="BJ57" s="373">
        <v>7</v>
      </c>
      <c r="BK57" s="168" t="s">
        <v>1142</v>
      </c>
      <c r="BL57" s="167">
        <v>6.875</v>
      </c>
      <c r="BM57" s="168"/>
      <c r="BN57" s="173">
        <v>4.25</v>
      </c>
      <c r="BO57" s="171" t="s">
        <v>1163</v>
      </c>
      <c r="BP57" s="435" t="s">
        <v>834</v>
      </c>
      <c r="BQ57" s="436"/>
      <c r="BR57" s="167">
        <v>7</v>
      </c>
      <c r="BS57" s="168"/>
      <c r="BT57" s="167" t="s">
        <v>834</v>
      </c>
      <c r="BU57" s="476"/>
      <c r="BV57" s="429">
        <v>5.75</v>
      </c>
      <c r="BW57" s="168" t="s">
        <v>1164</v>
      </c>
      <c r="BX57" s="437">
        <v>4.5</v>
      </c>
      <c r="BY57" s="171" t="s">
        <v>1165</v>
      </c>
      <c r="BZ57" s="432" t="s">
        <v>546</v>
      </c>
      <c r="CA57" s="168" t="s">
        <v>1144</v>
      </c>
      <c r="CB57" s="167">
        <v>6</v>
      </c>
      <c r="CC57" s="477"/>
      <c r="CD57" s="173">
        <v>12</v>
      </c>
      <c r="CE57" s="171" t="s">
        <v>1145</v>
      </c>
      <c r="CF57" s="373" t="s">
        <v>834</v>
      </c>
      <c r="CG57" s="175" t="s">
        <v>1166</v>
      </c>
      <c r="CH57" s="373">
        <v>4.5</v>
      </c>
      <c r="CI57" s="168" t="s">
        <v>1167</v>
      </c>
      <c r="CJ57" s="373">
        <v>7.5</v>
      </c>
      <c r="CK57" s="444" t="s">
        <v>1168</v>
      </c>
      <c r="CL57" s="445">
        <v>6.25</v>
      </c>
      <c r="CM57" s="168" t="s">
        <v>1169</v>
      </c>
      <c r="CN57" s="445" t="s">
        <v>834</v>
      </c>
      <c r="CO57" s="168" t="s">
        <v>1148</v>
      </c>
      <c r="CP57" s="167">
        <v>6</v>
      </c>
      <c r="CQ57" s="168"/>
      <c r="CR57" s="373" t="s">
        <v>834</v>
      </c>
      <c r="CS57" s="454" t="s">
        <v>1149</v>
      </c>
      <c r="CT57" s="432">
        <v>6.5</v>
      </c>
      <c r="CU57" s="168" t="s">
        <v>985</v>
      </c>
      <c r="CV57" s="432" t="s">
        <v>834</v>
      </c>
      <c r="CW57" s="168"/>
      <c r="CX57" s="168">
        <v>5</v>
      </c>
      <c r="CY57" s="168" t="s">
        <v>1170</v>
      </c>
      <c r="CZ57" s="173" t="s">
        <v>834</v>
      </c>
      <c r="DA57" s="171"/>
      <c r="DB57" s="371" t="s">
        <v>546</v>
      </c>
      <c r="DC57" s="371">
        <f t="shared" si="5"/>
        <v>26</v>
      </c>
      <c r="DD57" s="371"/>
      <c r="DE57" s="371"/>
      <c r="DF57" s="371"/>
      <c r="DG57" s="371"/>
      <c r="DH57" s="371"/>
      <c r="DI57" s="371"/>
      <c r="DJ57" s="371"/>
      <c r="DK57" s="371"/>
      <c r="DL57" s="371"/>
      <c r="DM57" s="371"/>
      <c r="DN57" s="371"/>
      <c r="DO57" s="371"/>
      <c r="DP57" s="371"/>
      <c r="DQ57" s="371"/>
      <c r="DR57" s="371"/>
    </row>
    <row r="58" spans="1:122" ht="18.75" x14ac:dyDescent="0.3">
      <c r="A58" s="325">
        <v>51721</v>
      </c>
      <c r="B58" s="326">
        <v>31</v>
      </c>
      <c r="C58" s="327" t="s">
        <v>1171</v>
      </c>
      <c r="D58" s="424">
        <v>6</v>
      </c>
      <c r="E58" s="480" t="s">
        <v>1172</v>
      </c>
      <c r="F58" s="173" t="s">
        <v>546</v>
      </c>
      <c r="G58" s="173"/>
      <c r="H58" s="425">
        <v>6.5</v>
      </c>
      <c r="I58" s="168"/>
      <c r="J58" s="173">
        <v>5.6</v>
      </c>
      <c r="K58" s="371" t="s">
        <v>1154</v>
      </c>
      <c r="L58" s="426" t="s">
        <v>834</v>
      </c>
      <c r="M58" s="427" t="s">
        <v>1173</v>
      </c>
      <c r="N58" s="173">
        <v>2.9</v>
      </c>
      <c r="O58" s="171"/>
      <c r="P58" s="445">
        <v>6.35</v>
      </c>
      <c r="Q58" s="427"/>
      <c r="R58" s="457">
        <v>5</v>
      </c>
      <c r="S58" s="444" t="s">
        <v>1174</v>
      </c>
      <c r="T58" s="469">
        <v>11</v>
      </c>
      <c r="U58" s="470" t="s">
        <v>1157</v>
      </c>
      <c r="V58" s="441">
        <v>7.44</v>
      </c>
      <c r="W58" s="377" t="s">
        <v>1135</v>
      </c>
      <c r="X58" s="167">
        <v>4</v>
      </c>
      <c r="Y58" s="168" t="s">
        <v>1136</v>
      </c>
      <c r="Z58" s="165">
        <v>5.8849999999999998</v>
      </c>
      <c r="AA58" s="168" t="s">
        <v>1175</v>
      </c>
      <c r="AB58" s="167" t="s">
        <v>834</v>
      </c>
      <c r="AC58" s="168"/>
      <c r="AD58" s="430">
        <v>7</v>
      </c>
      <c r="AE58" s="168"/>
      <c r="AF58" s="173">
        <v>7</v>
      </c>
      <c r="AG58" s="171" t="s">
        <v>1176</v>
      </c>
      <c r="AH58" s="167">
        <v>6</v>
      </c>
      <c r="AI58" s="168"/>
      <c r="AJ58" s="373">
        <v>6.5</v>
      </c>
      <c r="AK58" s="431" t="s">
        <v>863</v>
      </c>
      <c r="AL58" s="167" t="s">
        <v>995</v>
      </c>
      <c r="AM58" s="168" t="s">
        <v>1177</v>
      </c>
      <c r="AN58" s="173">
        <v>3</v>
      </c>
      <c r="AO58" s="171"/>
      <c r="AP58" s="475">
        <v>6</v>
      </c>
      <c r="AQ58" s="453" t="s">
        <v>1178</v>
      </c>
      <c r="AR58" s="173">
        <v>6</v>
      </c>
      <c r="AS58" s="171"/>
      <c r="AT58" s="173">
        <v>6.25</v>
      </c>
      <c r="AU58" s="171"/>
      <c r="AV58" s="381">
        <v>6</v>
      </c>
      <c r="AW58" s="168" t="s">
        <v>1179</v>
      </c>
      <c r="AX58" s="433">
        <v>6.875</v>
      </c>
      <c r="AY58" s="427"/>
      <c r="AZ58" s="429">
        <v>7</v>
      </c>
      <c r="BA58" s="427"/>
      <c r="BB58" s="164">
        <v>4.2249999999999996</v>
      </c>
      <c r="BC58" s="168"/>
      <c r="BD58" s="434">
        <v>3.7499999999999999E-2</v>
      </c>
      <c r="BE58" s="427" t="s">
        <v>1180</v>
      </c>
      <c r="BF58" s="384">
        <v>5.5</v>
      </c>
      <c r="BG58" s="168" t="s">
        <v>1181</v>
      </c>
      <c r="BH58" s="432" t="s">
        <v>834</v>
      </c>
      <c r="BI58" s="168"/>
      <c r="BJ58" s="373">
        <v>7</v>
      </c>
      <c r="BK58" s="168" t="s">
        <v>1142</v>
      </c>
      <c r="BL58" s="167">
        <v>6.875</v>
      </c>
      <c r="BM58" s="168"/>
      <c r="BN58" s="173">
        <v>5.125</v>
      </c>
      <c r="BO58" s="171" t="s">
        <v>1182</v>
      </c>
      <c r="BP58" s="435">
        <v>4</v>
      </c>
      <c r="BQ58" s="436"/>
      <c r="BR58" s="167">
        <v>7</v>
      </c>
      <c r="BS58" s="168"/>
      <c r="BT58" s="167">
        <v>5</v>
      </c>
      <c r="BU58" s="476"/>
      <c r="BV58" s="429">
        <v>5.75</v>
      </c>
      <c r="BW58" s="168"/>
      <c r="BX58" s="437">
        <v>4.5</v>
      </c>
      <c r="BY58" s="171"/>
      <c r="BZ58" s="432"/>
      <c r="CA58" s="168" t="s">
        <v>1144</v>
      </c>
      <c r="CB58" s="167">
        <v>6</v>
      </c>
      <c r="CC58" s="481"/>
      <c r="CD58" s="173">
        <v>12</v>
      </c>
      <c r="CE58" s="171" t="s">
        <v>1145</v>
      </c>
      <c r="CF58" s="373">
        <v>6</v>
      </c>
      <c r="CG58" s="175" t="s">
        <v>1166</v>
      </c>
      <c r="CH58" s="167">
        <v>4.5</v>
      </c>
      <c r="CI58" s="168"/>
      <c r="CJ58" s="167">
        <v>7</v>
      </c>
      <c r="CK58" s="427" t="s">
        <v>1183</v>
      </c>
      <c r="CL58" s="445">
        <v>6.25</v>
      </c>
      <c r="CM58" s="168"/>
      <c r="CN58" s="445">
        <v>4.7</v>
      </c>
      <c r="CO58" s="168" t="s">
        <v>1148</v>
      </c>
      <c r="CP58" s="167">
        <v>6</v>
      </c>
      <c r="CQ58" s="168"/>
      <c r="CR58" s="373" t="s">
        <v>834</v>
      </c>
      <c r="CS58" s="454" t="s">
        <v>1184</v>
      </c>
      <c r="CT58" s="432">
        <v>6.5</v>
      </c>
      <c r="CU58" s="168" t="s">
        <v>985</v>
      </c>
      <c r="CV58" s="432" t="s">
        <v>834</v>
      </c>
      <c r="CW58" s="168"/>
      <c r="CX58" s="168">
        <v>5</v>
      </c>
      <c r="CY58" s="168" t="s">
        <v>1185</v>
      </c>
      <c r="CZ58" s="173">
        <v>4</v>
      </c>
      <c r="DA58" s="171" t="s">
        <v>1150</v>
      </c>
      <c r="DB58" s="371" t="s">
        <v>546</v>
      </c>
      <c r="DC58" s="371">
        <f t="shared" si="5"/>
        <v>43</v>
      </c>
      <c r="DD58" s="371"/>
      <c r="DE58" s="371"/>
      <c r="DF58" s="371"/>
      <c r="DG58" s="371"/>
      <c r="DH58" s="371"/>
      <c r="DI58" s="371"/>
      <c r="DJ58" s="371"/>
      <c r="DK58" s="371"/>
      <c r="DL58" s="371"/>
      <c r="DM58" s="371"/>
      <c r="DN58" s="371"/>
      <c r="DO58" s="371"/>
      <c r="DP58" s="371"/>
      <c r="DQ58" s="371"/>
      <c r="DR58" s="371"/>
    </row>
    <row r="59" spans="1:122" ht="18.75" x14ac:dyDescent="0.3">
      <c r="A59" s="325">
        <v>2211</v>
      </c>
      <c r="B59" s="326">
        <v>32</v>
      </c>
      <c r="C59" s="327" t="s">
        <v>1186</v>
      </c>
      <c r="D59" s="424">
        <v>4</v>
      </c>
      <c r="E59" s="328" t="s">
        <v>1187</v>
      </c>
      <c r="F59" s="173" t="s">
        <v>546</v>
      </c>
      <c r="G59" s="173"/>
      <c r="H59" s="373">
        <v>6.5</v>
      </c>
      <c r="I59" s="444" t="s">
        <v>1188</v>
      </c>
      <c r="J59" s="173">
        <v>5.6</v>
      </c>
      <c r="K59" s="371" t="s">
        <v>1189</v>
      </c>
      <c r="L59" s="426" t="s">
        <v>834</v>
      </c>
      <c r="M59" s="427" t="s">
        <v>1190</v>
      </c>
      <c r="N59" s="173" t="s">
        <v>834</v>
      </c>
      <c r="O59" s="171" t="s">
        <v>1191</v>
      </c>
      <c r="P59" s="445">
        <v>6.35</v>
      </c>
      <c r="Q59" s="427" t="s">
        <v>1192</v>
      </c>
      <c r="R59" s="457">
        <v>4.25</v>
      </c>
      <c r="S59" s="444" t="s">
        <v>1193</v>
      </c>
      <c r="T59" s="428">
        <v>16.75</v>
      </c>
      <c r="U59" s="470" t="s">
        <v>1194</v>
      </c>
      <c r="V59" s="441">
        <v>4.3499999999999996</v>
      </c>
      <c r="W59" s="377" t="s">
        <v>1195</v>
      </c>
      <c r="X59" s="167">
        <v>4</v>
      </c>
      <c r="Y59" s="168"/>
      <c r="Z59" s="165">
        <v>5.8849999999999998</v>
      </c>
      <c r="AA59" s="168" t="s">
        <v>1175</v>
      </c>
      <c r="AB59" s="167" t="s">
        <v>834</v>
      </c>
      <c r="AC59" s="168"/>
      <c r="AD59" s="430">
        <v>5</v>
      </c>
      <c r="AE59" s="168"/>
      <c r="AF59" s="173">
        <v>7</v>
      </c>
      <c r="AG59" s="171" t="s">
        <v>1196</v>
      </c>
      <c r="AH59" s="167">
        <v>6</v>
      </c>
      <c r="AI59" s="168" t="s">
        <v>1197</v>
      </c>
      <c r="AJ59" s="373">
        <v>6.5</v>
      </c>
      <c r="AK59" s="431" t="s">
        <v>1198</v>
      </c>
      <c r="AL59" s="373" t="s">
        <v>995</v>
      </c>
      <c r="AM59" s="168" t="s">
        <v>1199</v>
      </c>
      <c r="AN59" s="173">
        <v>3.9</v>
      </c>
      <c r="AO59" s="171" t="s">
        <v>1200</v>
      </c>
      <c r="AP59" s="482">
        <v>5.5</v>
      </c>
      <c r="AQ59" s="377" t="s">
        <v>1201</v>
      </c>
      <c r="AR59" s="173">
        <v>6</v>
      </c>
      <c r="AS59" s="171" t="s">
        <v>1202</v>
      </c>
      <c r="AT59" s="173">
        <v>6.25</v>
      </c>
      <c r="AU59" s="171" t="s">
        <v>1203</v>
      </c>
      <c r="AV59" s="381">
        <v>6</v>
      </c>
      <c r="AW59" s="168" t="s">
        <v>1204</v>
      </c>
      <c r="AX59" s="443">
        <v>6.875</v>
      </c>
      <c r="AY59" s="427" t="s">
        <v>1205</v>
      </c>
      <c r="AZ59" s="429">
        <v>7</v>
      </c>
      <c r="BA59" s="427" t="s">
        <v>1206</v>
      </c>
      <c r="BB59" s="165">
        <v>4.2249999999999996</v>
      </c>
      <c r="BC59" s="168" t="s">
        <v>1207</v>
      </c>
      <c r="BD59" s="459">
        <f>0.1%+0.39%</f>
        <v>4.8999999999999998E-3</v>
      </c>
      <c r="BE59" s="427" t="s">
        <v>1208</v>
      </c>
      <c r="BF59" s="382">
        <v>5.5</v>
      </c>
      <c r="BG59" s="168" t="s">
        <v>1209</v>
      </c>
      <c r="BH59" s="432" t="s">
        <v>834</v>
      </c>
      <c r="BI59" s="168"/>
      <c r="BJ59" s="373" t="s">
        <v>546</v>
      </c>
      <c r="BK59" s="168" t="s">
        <v>1210</v>
      </c>
      <c r="BL59" s="167">
        <v>6.875</v>
      </c>
      <c r="BM59" s="483"/>
      <c r="BN59" s="173">
        <v>5.125</v>
      </c>
      <c r="BO59" s="171"/>
      <c r="BP59" s="435" t="s">
        <v>834</v>
      </c>
      <c r="BQ59" s="436" t="s">
        <v>1211</v>
      </c>
      <c r="BR59" s="373">
        <v>7</v>
      </c>
      <c r="BS59" s="168" t="s">
        <v>1212</v>
      </c>
      <c r="BT59" s="167" t="s">
        <v>834</v>
      </c>
      <c r="BU59" s="168"/>
      <c r="BV59" s="167" t="s">
        <v>834</v>
      </c>
      <c r="BW59" s="168" t="s">
        <v>1213</v>
      </c>
      <c r="BX59" s="437">
        <v>4.5</v>
      </c>
      <c r="BY59" s="171" t="s">
        <v>1214</v>
      </c>
      <c r="BZ59" s="432" t="s">
        <v>546</v>
      </c>
      <c r="CA59" s="168"/>
      <c r="CB59" s="373">
        <v>6</v>
      </c>
      <c r="CC59" s="175" t="s">
        <v>1215</v>
      </c>
      <c r="CD59" s="173">
        <v>4</v>
      </c>
      <c r="CE59" s="171" t="s">
        <v>1216</v>
      </c>
      <c r="CF59" s="373" t="s">
        <v>834</v>
      </c>
      <c r="CG59" s="175" t="s">
        <v>1217</v>
      </c>
      <c r="CH59" s="167">
        <v>4.5</v>
      </c>
      <c r="CI59" s="168" t="s">
        <v>1218</v>
      </c>
      <c r="CJ59" s="167">
        <v>1.5</v>
      </c>
      <c r="CK59" s="444" t="s">
        <v>1219</v>
      </c>
      <c r="CL59" s="445">
        <v>6.25</v>
      </c>
      <c r="CM59" s="461" t="s">
        <v>1220</v>
      </c>
      <c r="CN59" s="385" t="s">
        <v>834</v>
      </c>
      <c r="CO59" s="168" t="s">
        <v>1221</v>
      </c>
      <c r="CP59" s="167">
        <v>6</v>
      </c>
      <c r="CQ59" s="168" t="s">
        <v>1222</v>
      </c>
      <c r="CR59" s="373" t="s">
        <v>834</v>
      </c>
      <c r="CS59" s="427" t="s">
        <v>1223</v>
      </c>
      <c r="CT59" s="164">
        <v>3.8730000000000002</v>
      </c>
      <c r="CU59" s="168" t="s">
        <v>1224</v>
      </c>
      <c r="CV59" s="432" t="s">
        <v>995</v>
      </c>
      <c r="CW59" s="168" t="s">
        <v>1225</v>
      </c>
      <c r="CX59" s="168">
        <v>5</v>
      </c>
      <c r="CY59" s="168" t="s">
        <v>1226</v>
      </c>
      <c r="CZ59" s="173">
        <v>4</v>
      </c>
      <c r="DA59" s="171" t="s">
        <v>1227</v>
      </c>
      <c r="DB59" s="371" t="s">
        <v>546</v>
      </c>
      <c r="DC59" s="371">
        <f t="shared" si="5"/>
        <v>36</v>
      </c>
      <c r="DD59" s="371"/>
      <c r="DE59" s="371"/>
      <c r="DF59" s="371"/>
      <c r="DG59" s="371"/>
      <c r="DH59" s="371"/>
      <c r="DI59" s="371"/>
      <c r="DJ59" s="371"/>
      <c r="DK59" s="371"/>
      <c r="DL59" s="371"/>
      <c r="DM59" s="371"/>
      <c r="DN59" s="371"/>
      <c r="DO59" s="371"/>
      <c r="DP59" s="371"/>
      <c r="DQ59" s="371"/>
      <c r="DR59" s="371"/>
    </row>
    <row r="60" spans="1:122" ht="18.75" x14ac:dyDescent="0.3">
      <c r="A60" s="325">
        <v>2213</v>
      </c>
      <c r="B60" s="326">
        <v>33</v>
      </c>
      <c r="C60" s="327" t="s">
        <v>1228</v>
      </c>
      <c r="D60" s="424" t="s">
        <v>834</v>
      </c>
      <c r="E60" s="328"/>
      <c r="F60" s="173" t="s">
        <v>546</v>
      </c>
      <c r="G60" s="173"/>
      <c r="H60" s="373">
        <v>6.5</v>
      </c>
      <c r="I60" s="427"/>
      <c r="J60" s="173">
        <v>5.6</v>
      </c>
      <c r="K60" s="371" t="s">
        <v>1189</v>
      </c>
      <c r="L60" s="426" t="s">
        <v>834</v>
      </c>
      <c r="M60" s="427" t="s">
        <v>1229</v>
      </c>
      <c r="N60" s="173" t="s">
        <v>834</v>
      </c>
      <c r="O60" s="171"/>
      <c r="P60" s="445" t="s">
        <v>834</v>
      </c>
      <c r="Q60" s="427"/>
      <c r="R60" s="457" t="s">
        <v>834</v>
      </c>
      <c r="S60" s="444"/>
      <c r="T60" s="469" t="s">
        <v>834</v>
      </c>
      <c r="U60" s="470"/>
      <c r="V60" s="441" t="s">
        <v>834</v>
      </c>
      <c r="W60" s="377" t="s">
        <v>992</v>
      </c>
      <c r="X60" s="167" t="s">
        <v>834</v>
      </c>
      <c r="Y60" s="168" t="s">
        <v>1230</v>
      </c>
      <c r="Z60" s="165">
        <v>5.8849999999999998</v>
      </c>
      <c r="AA60" s="168" t="s">
        <v>1231</v>
      </c>
      <c r="AB60" s="167" t="s">
        <v>834</v>
      </c>
      <c r="AC60" s="168"/>
      <c r="AD60" s="430" t="s">
        <v>834</v>
      </c>
      <c r="AE60" s="168"/>
      <c r="AF60" s="173">
        <v>7</v>
      </c>
      <c r="AG60" s="171" t="s">
        <v>1196</v>
      </c>
      <c r="AH60" s="167">
        <v>6</v>
      </c>
      <c r="AI60" s="168" t="s">
        <v>1197</v>
      </c>
      <c r="AJ60" s="373">
        <v>6.5</v>
      </c>
      <c r="AK60" s="431" t="s">
        <v>1198</v>
      </c>
      <c r="AL60" s="373" t="s">
        <v>995</v>
      </c>
      <c r="AM60" s="168" t="s">
        <v>1232</v>
      </c>
      <c r="AN60" s="173">
        <v>3.9</v>
      </c>
      <c r="AO60" s="171" t="s">
        <v>1233</v>
      </c>
      <c r="AP60" s="482">
        <v>5.5</v>
      </c>
      <c r="AQ60" s="377" t="s">
        <v>1234</v>
      </c>
      <c r="AR60" s="173" t="s">
        <v>834</v>
      </c>
      <c r="AS60" s="171"/>
      <c r="AT60" s="173" t="s">
        <v>834</v>
      </c>
      <c r="AU60" s="171"/>
      <c r="AV60" s="381" t="s">
        <v>834</v>
      </c>
      <c r="AW60" s="168"/>
      <c r="AX60" s="443">
        <v>6.875</v>
      </c>
      <c r="AY60" s="427" t="s">
        <v>1205</v>
      </c>
      <c r="AZ60" s="429">
        <v>7</v>
      </c>
      <c r="BA60" s="454" t="s">
        <v>1235</v>
      </c>
      <c r="BB60" s="165">
        <v>4.2249999999999996</v>
      </c>
      <c r="BC60" s="168" t="s">
        <v>1236</v>
      </c>
      <c r="BD60" s="459">
        <f t="shared" ref="BD60:BD63" si="6">0.1%+0.39%</f>
        <v>4.8999999999999998E-3</v>
      </c>
      <c r="BE60" s="427" t="s">
        <v>1208</v>
      </c>
      <c r="BF60" s="382">
        <v>5.5</v>
      </c>
      <c r="BG60" s="168" t="s">
        <v>1237</v>
      </c>
      <c r="BH60" s="432" t="s">
        <v>834</v>
      </c>
      <c r="BI60" s="168" t="s">
        <v>1238</v>
      </c>
      <c r="BJ60" s="167" t="s">
        <v>546</v>
      </c>
      <c r="BK60" s="168"/>
      <c r="BL60" s="167" t="s">
        <v>834</v>
      </c>
      <c r="BM60" s="168"/>
      <c r="BN60" s="173">
        <v>5.125</v>
      </c>
      <c r="BO60" s="171" t="s">
        <v>1239</v>
      </c>
      <c r="BP60" s="435" t="s">
        <v>834</v>
      </c>
      <c r="BQ60" s="436"/>
      <c r="BR60" s="373" t="s">
        <v>834</v>
      </c>
      <c r="BS60" s="168" t="s">
        <v>1240</v>
      </c>
      <c r="BT60" s="167" t="s">
        <v>834</v>
      </c>
      <c r="BU60" s="168"/>
      <c r="BV60" s="167" t="s">
        <v>834</v>
      </c>
      <c r="BW60" s="168" t="s">
        <v>1241</v>
      </c>
      <c r="BX60" s="437" t="s">
        <v>834</v>
      </c>
      <c r="BY60" s="171"/>
      <c r="BZ60" s="432"/>
      <c r="CA60" s="168"/>
      <c r="CB60" s="373" t="s">
        <v>834</v>
      </c>
      <c r="CC60" s="175"/>
      <c r="CD60" s="173">
        <v>7</v>
      </c>
      <c r="CE60" s="171" t="s">
        <v>1242</v>
      </c>
      <c r="CF60" s="373" t="s">
        <v>834</v>
      </c>
      <c r="CG60" s="175" t="s">
        <v>1243</v>
      </c>
      <c r="CH60" s="167" t="s">
        <v>834</v>
      </c>
      <c r="CI60" s="168"/>
      <c r="CJ60" s="167">
        <v>1</v>
      </c>
      <c r="CK60" s="444" t="s">
        <v>1244</v>
      </c>
      <c r="CL60" s="445" t="s">
        <v>834</v>
      </c>
      <c r="CM60" s="168"/>
      <c r="CN60" s="385" t="s">
        <v>834</v>
      </c>
      <c r="CO60" s="168" t="s">
        <v>1245</v>
      </c>
      <c r="CP60" s="167" t="s">
        <v>834</v>
      </c>
      <c r="CQ60" s="168"/>
      <c r="CR60" s="373" t="s">
        <v>834</v>
      </c>
      <c r="CS60" s="427" t="s">
        <v>1246</v>
      </c>
      <c r="CT60" s="164">
        <v>5.0289999999999999</v>
      </c>
      <c r="CU60" s="168" t="s">
        <v>1224</v>
      </c>
      <c r="CV60" s="432">
        <v>4.4000000000000004</v>
      </c>
      <c r="CW60" s="168" t="s">
        <v>1247</v>
      </c>
      <c r="CX60" s="168" t="s">
        <v>834</v>
      </c>
      <c r="CY60" s="168"/>
      <c r="CZ60" s="173" t="s">
        <v>834</v>
      </c>
      <c r="DA60" s="171" t="s">
        <v>1248</v>
      </c>
      <c r="DB60" s="371" t="s">
        <v>546</v>
      </c>
      <c r="DC60" s="371">
        <f t="shared" si="5"/>
        <v>18</v>
      </c>
      <c r="DD60" s="371"/>
      <c r="DE60" s="371"/>
      <c r="DF60" s="371"/>
      <c r="DG60" s="371"/>
      <c r="DH60" s="371"/>
      <c r="DI60" s="371"/>
      <c r="DJ60" s="371"/>
      <c r="DK60" s="371"/>
      <c r="DL60" s="371"/>
      <c r="DM60" s="371"/>
      <c r="DN60" s="371"/>
      <c r="DO60" s="371"/>
      <c r="DP60" s="371"/>
      <c r="DQ60" s="371"/>
      <c r="DR60" s="371"/>
    </row>
    <row r="61" spans="1:122" ht="18.75" x14ac:dyDescent="0.3">
      <c r="A61" s="325">
        <v>22121</v>
      </c>
      <c r="B61" s="326">
        <v>34</v>
      </c>
      <c r="C61" s="327" t="s">
        <v>1249</v>
      </c>
      <c r="D61" s="424">
        <v>4</v>
      </c>
      <c r="E61" s="328" t="s">
        <v>1187</v>
      </c>
      <c r="F61" s="173" t="s">
        <v>546</v>
      </c>
      <c r="G61" s="173"/>
      <c r="H61" s="373">
        <v>6.5</v>
      </c>
      <c r="I61" s="427" t="s">
        <v>1250</v>
      </c>
      <c r="J61" s="173">
        <v>5.6</v>
      </c>
      <c r="K61" s="371" t="s">
        <v>1189</v>
      </c>
      <c r="L61" s="426" t="s">
        <v>834</v>
      </c>
      <c r="M61" s="427" t="s">
        <v>1251</v>
      </c>
      <c r="N61" s="173" t="s">
        <v>834</v>
      </c>
      <c r="O61" s="171" t="s">
        <v>1191</v>
      </c>
      <c r="P61" s="445">
        <v>6.35</v>
      </c>
      <c r="Q61" s="427" t="s">
        <v>1252</v>
      </c>
      <c r="R61" s="457">
        <v>4.25</v>
      </c>
      <c r="S61" s="444"/>
      <c r="T61" s="428">
        <v>16.75</v>
      </c>
      <c r="U61" s="470"/>
      <c r="V61" s="441">
        <v>6</v>
      </c>
      <c r="W61" s="377" t="s">
        <v>1253</v>
      </c>
      <c r="X61" s="167">
        <v>4</v>
      </c>
      <c r="Y61" s="168" t="s">
        <v>1254</v>
      </c>
      <c r="Z61" s="165">
        <v>5.8849999999999998</v>
      </c>
      <c r="AA61" s="168" t="s">
        <v>1175</v>
      </c>
      <c r="AB61" s="167" t="s">
        <v>834</v>
      </c>
      <c r="AC61" s="168"/>
      <c r="AD61" s="430">
        <v>5</v>
      </c>
      <c r="AE61" s="168"/>
      <c r="AF61" s="173">
        <v>7</v>
      </c>
      <c r="AG61" s="171" t="s">
        <v>1196</v>
      </c>
      <c r="AH61" s="167">
        <v>6</v>
      </c>
      <c r="AI61" s="168" t="s">
        <v>1197</v>
      </c>
      <c r="AJ61" s="373">
        <v>6.5</v>
      </c>
      <c r="AK61" s="431" t="s">
        <v>1255</v>
      </c>
      <c r="AL61" s="373" t="s">
        <v>995</v>
      </c>
      <c r="AM61" s="168" t="s">
        <v>1256</v>
      </c>
      <c r="AN61" s="173">
        <v>3.9</v>
      </c>
      <c r="AO61" s="171" t="s">
        <v>1257</v>
      </c>
      <c r="AP61" s="482">
        <v>5.5</v>
      </c>
      <c r="AQ61" s="377" t="s">
        <v>1201</v>
      </c>
      <c r="AR61" s="173">
        <v>6</v>
      </c>
      <c r="AS61" s="171" t="s">
        <v>1202</v>
      </c>
      <c r="AT61" s="173">
        <v>6.25</v>
      </c>
      <c r="AU61" s="171" t="s">
        <v>1203</v>
      </c>
      <c r="AV61" s="381">
        <v>6</v>
      </c>
      <c r="AW61" s="168" t="s">
        <v>1204</v>
      </c>
      <c r="AX61" s="443">
        <v>6.875</v>
      </c>
      <c r="AY61" s="427" t="s">
        <v>1258</v>
      </c>
      <c r="AZ61" s="429">
        <v>7</v>
      </c>
      <c r="BA61" s="427" t="s">
        <v>1259</v>
      </c>
      <c r="BB61" s="165">
        <v>4.2249999999999996</v>
      </c>
      <c r="BC61" s="168" t="s">
        <v>1260</v>
      </c>
      <c r="BD61" s="459">
        <f t="shared" si="6"/>
        <v>4.8999999999999998E-3</v>
      </c>
      <c r="BE61" s="427" t="s">
        <v>1208</v>
      </c>
      <c r="BF61" s="382">
        <v>5.5</v>
      </c>
      <c r="BG61" s="168" t="s">
        <v>1261</v>
      </c>
      <c r="BH61" s="432" t="s">
        <v>834</v>
      </c>
      <c r="BI61" s="168"/>
      <c r="BJ61" s="167"/>
      <c r="BK61" s="168"/>
      <c r="BL61" s="167">
        <v>6.875</v>
      </c>
      <c r="BM61" s="483"/>
      <c r="BN61" s="173">
        <v>5.125</v>
      </c>
      <c r="BO61" s="171" t="s">
        <v>546</v>
      </c>
      <c r="BP61" s="435" t="s">
        <v>834</v>
      </c>
      <c r="BQ61" s="436" t="s">
        <v>1211</v>
      </c>
      <c r="BR61" s="373">
        <v>7</v>
      </c>
      <c r="BS61" s="168" t="s">
        <v>1262</v>
      </c>
      <c r="BT61" s="167" t="s">
        <v>834</v>
      </c>
      <c r="BU61" s="168"/>
      <c r="BV61" s="167" t="s">
        <v>834</v>
      </c>
      <c r="BW61" s="168" t="s">
        <v>1263</v>
      </c>
      <c r="BX61" s="437">
        <v>4.5</v>
      </c>
      <c r="BY61" s="171" t="s">
        <v>1214</v>
      </c>
      <c r="BZ61" s="432" t="s">
        <v>546</v>
      </c>
      <c r="CA61" s="168"/>
      <c r="CB61" s="373">
        <v>6</v>
      </c>
      <c r="CC61" s="175" t="s">
        <v>1215</v>
      </c>
      <c r="CD61" s="173">
        <v>3</v>
      </c>
      <c r="CE61" s="171" t="s">
        <v>1264</v>
      </c>
      <c r="CF61" s="373" t="s">
        <v>834</v>
      </c>
      <c r="CG61" s="175" t="s">
        <v>1265</v>
      </c>
      <c r="CH61" s="167">
        <v>4.5</v>
      </c>
      <c r="CI61" s="168"/>
      <c r="CJ61" s="167">
        <v>1.5</v>
      </c>
      <c r="CK61" s="444" t="s">
        <v>1219</v>
      </c>
      <c r="CL61" s="445">
        <v>6.25</v>
      </c>
      <c r="CM61" s="461" t="s">
        <v>1220</v>
      </c>
      <c r="CN61" s="385" t="s">
        <v>834</v>
      </c>
      <c r="CO61" s="168" t="s">
        <v>1221</v>
      </c>
      <c r="CP61" s="167">
        <v>6</v>
      </c>
      <c r="CQ61" s="168" t="s">
        <v>1222</v>
      </c>
      <c r="CR61" s="373" t="s">
        <v>834</v>
      </c>
      <c r="CS61" s="427" t="s">
        <v>1266</v>
      </c>
      <c r="CT61" s="164">
        <v>3.8519999999999999</v>
      </c>
      <c r="CU61" s="168" t="s">
        <v>1224</v>
      </c>
      <c r="CV61" s="432">
        <v>4.29</v>
      </c>
      <c r="CW61" s="168" t="s">
        <v>1267</v>
      </c>
      <c r="CX61" s="168">
        <v>5</v>
      </c>
      <c r="CY61" s="168" t="s">
        <v>1268</v>
      </c>
      <c r="CZ61" s="173">
        <v>4</v>
      </c>
      <c r="DA61" s="171" t="s">
        <v>1227</v>
      </c>
      <c r="DB61" s="371" t="s">
        <v>546</v>
      </c>
      <c r="DC61" s="371">
        <f t="shared" si="5"/>
        <v>37</v>
      </c>
      <c r="DD61" s="371"/>
      <c r="DE61" s="371"/>
      <c r="DF61" s="371"/>
      <c r="DG61" s="371"/>
      <c r="DH61" s="371"/>
      <c r="DI61" s="371"/>
      <c r="DJ61" s="371"/>
      <c r="DK61" s="371"/>
      <c r="DL61" s="371"/>
      <c r="DM61" s="371"/>
      <c r="DN61" s="371"/>
      <c r="DO61" s="371"/>
      <c r="DP61" s="371"/>
      <c r="DQ61" s="371"/>
      <c r="DR61" s="371"/>
    </row>
    <row r="62" spans="1:122" ht="18.75" x14ac:dyDescent="0.3">
      <c r="A62" s="325">
        <v>484240</v>
      </c>
      <c r="B62" s="326">
        <v>35</v>
      </c>
      <c r="C62" s="327" t="s">
        <v>1269</v>
      </c>
      <c r="D62" s="424">
        <v>4</v>
      </c>
      <c r="E62" s="328"/>
      <c r="F62" s="173" t="s">
        <v>546</v>
      </c>
      <c r="G62" s="173"/>
      <c r="H62" s="373">
        <v>6.5</v>
      </c>
      <c r="I62" s="427"/>
      <c r="J62" s="173">
        <v>5.6</v>
      </c>
      <c r="K62" s="371" t="s">
        <v>1270</v>
      </c>
      <c r="L62" s="426">
        <v>7.25</v>
      </c>
      <c r="M62" s="427" t="s">
        <v>1271</v>
      </c>
      <c r="N62" s="173" t="s">
        <v>834</v>
      </c>
      <c r="O62" s="171" t="s">
        <v>1272</v>
      </c>
      <c r="P62" s="445">
        <v>6.35</v>
      </c>
      <c r="Q62" s="427" t="s">
        <v>1273</v>
      </c>
      <c r="R62" s="457">
        <v>0.39800000000000002</v>
      </c>
      <c r="S62" s="168" t="s">
        <v>837</v>
      </c>
      <c r="T62" s="428">
        <v>16.75</v>
      </c>
      <c r="U62" s="470" t="s">
        <v>1274</v>
      </c>
      <c r="V62" s="441">
        <v>6</v>
      </c>
      <c r="W62" s="377" t="s">
        <v>1275</v>
      </c>
      <c r="X62" s="167">
        <v>4</v>
      </c>
      <c r="Y62" s="168"/>
      <c r="Z62" s="165">
        <v>5.8849999999999998</v>
      </c>
      <c r="AA62" s="168" t="s">
        <v>1276</v>
      </c>
      <c r="AB62" s="167" t="s">
        <v>834</v>
      </c>
      <c r="AC62" s="168"/>
      <c r="AD62" s="430">
        <v>6.25</v>
      </c>
      <c r="AE62" s="168"/>
      <c r="AF62" s="173">
        <v>7</v>
      </c>
      <c r="AG62" s="171" t="s">
        <v>1196</v>
      </c>
      <c r="AH62" s="167">
        <v>6</v>
      </c>
      <c r="AI62" s="168" t="s">
        <v>1197</v>
      </c>
      <c r="AJ62" s="373">
        <v>6.5</v>
      </c>
      <c r="AK62" s="431" t="s">
        <v>1255</v>
      </c>
      <c r="AL62" s="373" t="s">
        <v>995</v>
      </c>
      <c r="AM62" s="168" t="s">
        <v>1277</v>
      </c>
      <c r="AN62" s="173">
        <v>5</v>
      </c>
      <c r="AO62" s="171" t="s">
        <v>1278</v>
      </c>
      <c r="AP62" s="482">
        <v>5.5</v>
      </c>
      <c r="AQ62" s="377" t="s">
        <v>1201</v>
      </c>
      <c r="AR62" s="173">
        <v>6</v>
      </c>
      <c r="AS62" s="171" t="s">
        <v>1202</v>
      </c>
      <c r="AT62" s="173">
        <v>6.25</v>
      </c>
      <c r="AU62" s="171" t="s">
        <v>1203</v>
      </c>
      <c r="AV62" s="381">
        <v>6</v>
      </c>
      <c r="AW62" s="168" t="s">
        <v>1204</v>
      </c>
      <c r="AX62" s="443">
        <v>6.875</v>
      </c>
      <c r="AY62" s="427" t="s">
        <v>1205</v>
      </c>
      <c r="AZ62" s="429">
        <v>7</v>
      </c>
      <c r="BA62" s="427" t="s">
        <v>1279</v>
      </c>
      <c r="BB62" s="164">
        <v>4.2249999999999996</v>
      </c>
      <c r="BC62" s="168"/>
      <c r="BD62" s="479" t="s">
        <v>834</v>
      </c>
      <c r="BE62" s="427"/>
      <c r="BF62" s="382">
        <v>5.5</v>
      </c>
      <c r="BG62" s="168" t="s">
        <v>1280</v>
      </c>
      <c r="BH62" s="432" t="s">
        <v>834</v>
      </c>
      <c r="BI62" s="168" t="s">
        <v>1238</v>
      </c>
      <c r="BJ62" s="167" t="s">
        <v>546</v>
      </c>
      <c r="BK62" s="168"/>
      <c r="BL62" s="167" t="s">
        <v>834</v>
      </c>
      <c r="BM62" s="168"/>
      <c r="BN62" s="173">
        <v>5.125</v>
      </c>
      <c r="BO62" s="171" t="s">
        <v>1281</v>
      </c>
      <c r="BP62" s="435" t="s">
        <v>834</v>
      </c>
      <c r="BQ62" s="436" t="s">
        <v>1211</v>
      </c>
      <c r="BR62" s="373">
        <v>4.75</v>
      </c>
      <c r="BS62" s="168" t="s">
        <v>1282</v>
      </c>
      <c r="BT62" s="167" t="s">
        <v>834</v>
      </c>
      <c r="BU62" s="168"/>
      <c r="BV62" s="429">
        <v>5.75</v>
      </c>
      <c r="BW62" s="168"/>
      <c r="BX62" s="437">
        <v>4.5</v>
      </c>
      <c r="BY62" s="171" t="s">
        <v>1214</v>
      </c>
      <c r="BZ62" s="432" t="s">
        <v>546</v>
      </c>
      <c r="CA62" s="168"/>
      <c r="CB62" s="373">
        <v>6</v>
      </c>
      <c r="CC62" s="175" t="s">
        <v>1283</v>
      </c>
      <c r="CD62" s="173" t="s">
        <v>834</v>
      </c>
      <c r="CE62" s="171"/>
      <c r="CF62" s="373" t="s">
        <v>834</v>
      </c>
      <c r="CG62" s="175" t="s">
        <v>1265</v>
      </c>
      <c r="CH62" s="167">
        <v>4.5</v>
      </c>
      <c r="CI62" s="168"/>
      <c r="CJ62" s="167">
        <v>1.5</v>
      </c>
      <c r="CK62" s="444" t="s">
        <v>1219</v>
      </c>
      <c r="CL62" s="445">
        <v>6.25</v>
      </c>
      <c r="CM62" s="168" t="s">
        <v>1284</v>
      </c>
      <c r="CN62" s="385" t="s">
        <v>834</v>
      </c>
      <c r="CO62" s="168"/>
      <c r="CP62" s="167">
        <v>6</v>
      </c>
      <c r="CQ62" s="168" t="s">
        <v>1222</v>
      </c>
      <c r="CR62" s="373">
        <v>5.3</v>
      </c>
      <c r="CS62" s="427" t="s">
        <v>1285</v>
      </c>
      <c r="CT62" s="432">
        <v>6.5</v>
      </c>
      <c r="CU62" s="168" t="s">
        <v>985</v>
      </c>
      <c r="CV62" s="432">
        <v>5</v>
      </c>
      <c r="CW62" s="168" t="s">
        <v>1286</v>
      </c>
      <c r="CX62" s="168">
        <v>5</v>
      </c>
      <c r="CY62" s="168" t="s">
        <v>1287</v>
      </c>
      <c r="CZ62" s="173">
        <v>4</v>
      </c>
      <c r="DA62" s="171" t="s">
        <v>1227</v>
      </c>
      <c r="DB62" s="371" t="s">
        <v>546</v>
      </c>
      <c r="DC62" s="371">
        <f t="shared" si="5"/>
        <v>37</v>
      </c>
      <c r="DD62" s="371"/>
      <c r="DE62" s="371"/>
      <c r="DF62" s="371"/>
      <c r="DG62" s="371"/>
      <c r="DH62" s="371"/>
      <c r="DI62" s="371"/>
      <c r="DJ62" s="371"/>
      <c r="DK62" s="371"/>
      <c r="DL62" s="371"/>
      <c r="DM62" s="371"/>
      <c r="DN62" s="371"/>
      <c r="DO62" s="371"/>
      <c r="DP62" s="371"/>
      <c r="DQ62" s="371"/>
      <c r="DR62" s="371"/>
    </row>
    <row r="63" spans="1:122" ht="18.75" x14ac:dyDescent="0.3">
      <c r="A63" s="325">
        <v>22132</v>
      </c>
      <c r="B63" s="326">
        <v>36</v>
      </c>
      <c r="C63" s="327" t="s">
        <v>1288</v>
      </c>
      <c r="D63" s="424" t="s">
        <v>834</v>
      </c>
      <c r="E63" s="328"/>
      <c r="F63" s="173"/>
      <c r="G63" s="173"/>
      <c r="H63" s="373">
        <v>6.5</v>
      </c>
      <c r="I63" s="427" t="s">
        <v>1289</v>
      </c>
      <c r="J63" s="173" t="s">
        <v>834</v>
      </c>
      <c r="K63" s="371"/>
      <c r="L63" s="426" t="s">
        <v>834</v>
      </c>
      <c r="M63" s="427" t="s">
        <v>1290</v>
      </c>
      <c r="N63" s="173" t="s">
        <v>834</v>
      </c>
      <c r="O63" s="171"/>
      <c r="P63" s="445">
        <v>6.35</v>
      </c>
      <c r="Q63" s="427" t="s">
        <v>1291</v>
      </c>
      <c r="R63" s="457">
        <v>0.39800000000000002</v>
      </c>
      <c r="S63" s="168" t="s">
        <v>837</v>
      </c>
      <c r="T63" s="428">
        <v>5.75</v>
      </c>
      <c r="U63" s="470" t="s">
        <v>1292</v>
      </c>
      <c r="V63" s="441" t="s">
        <v>834</v>
      </c>
      <c r="W63" s="377" t="s">
        <v>992</v>
      </c>
      <c r="X63" s="167" t="s">
        <v>834</v>
      </c>
      <c r="Y63" s="168" t="s">
        <v>856</v>
      </c>
      <c r="Z63" s="165">
        <v>5.8849999999999998</v>
      </c>
      <c r="AA63" s="168" t="s">
        <v>1175</v>
      </c>
      <c r="AB63" s="167" t="s">
        <v>834</v>
      </c>
      <c r="AC63" s="168"/>
      <c r="AD63" s="430" t="s">
        <v>834</v>
      </c>
      <c r="AE63" s="168"/>
      <c r="AF63" s="173" t="s">
        <v>834</v>
      </c>
      <c r="AG63" s="171"/>
      <c r="AH63" s="167">
        <v>6</v>
      </c>
      <c r="AI63" s="168"/>
      <c r="AJ63" s="373" t="s">
        <v>834</v>
      </c>
      <c r="AK63" s="431"/>
      <c r="AL63" s="167">
        <v>6</v>
      </c>
      <c r="AM63" s="168" t="s">
        <v>1293</v>
      </c>
      <c r="AN63" s="173" t="s">
        <v>834</v>
      </c>
      <c r="AO63" s="171"/>
      <c r="AP63" s="432" t="s">
        <v>834</v>
      </c>
      <c r="AQ63" s="168"/>
      <c r="AR63" s="173" t="s">
        <v>834</v>
      </c>
      <c r="AS63" s="171"/>
      <c r="AT63" s="173" t="s">
        <v>834</v>
      </c>
      <c r="AU63" s="171"/>
      <c r="AV63" s="381" t="s">
        <v>834</v>
      </c>
      <c r="AW63" s="167"/>
      <c r="AX63" s="443" t="s">
        <v>995</v>
      </c>
      <c r="AY63" s="427" t="s">
        <v>1294</v>
      </c>
      <c r="AZ63" s="167" t="s">
        <v>834</v>
      </c>
      <c r="BA63" s="427"/>
      <c r="BB63" s="164" t="s">
        <v>834</v>
      </c>
      <c r="BC63" s="167"/>
      <c r="BD63" s="459">
        <f t="shared" si="6"/>
        <v>4.8999999999999998E-3</v>
      </c>
      <c r="BE63" s="427" t="s">
        <v>1295</v>
      </c>
      <c r="BF63" s="384">
        <v>5.5</v>
      </c>
      <c r="BG63" s="168" t="s">
        <v>1296</v>
      </c>
      <c r="BH63" s="432" t="s">
        <v>834</v>
      </c>
      <c r="BI63" s="167"/>
      <c r="BJ63" s="167"/>
      <c r="BK63" s="168"/>
      <c r="BL63" s="373">
        <v>6.875</v>
      </c>
      <c r="BM63" s="168" t="s">
        <v>1297</v>
      </c>
      <c r="BN63" s="173">
        <v>5.125</v>
      </c>
      <c r="BO63" s="171" t="s">
        <v>1298</v>
      </c>
      <c r="BP63" s="435" t="s">
        <v>834</v>
      </c>
      <c r="BQ63" s="436" t="s">
        <v>546</v>
      </c>
      <c r="BR63" s="167" t="s">
        <v>834</v>
      </c>
      <c r="BS63" s="167"/>
      <c r="BT63" s="167" t="s">
        <v>834</v>
      </c>
      <c r="BU63" s="167"/>
      <c r="BV63" s="167" t="s">
        <v>834</v>
      </c>
      <c r="BW63" s="167"/>
      <c r="BX63" s="437" t="s">
        <v>834</v>
      </c>
      <c r="BY63" s="171"/>
      <c r="BZ63" s="432"/>
      <c r="CA63" s="168"/>
      <c r="CB63" s="373" t="s">
        <v>834</v>
      </c>
      <c r="CC63" s="167"/>
      <c r="CD63" s="173" t="s">
        <v>834</v>
      </c>
      <c r="CE63" s="171"/>
      <c r="CF63" s="373" t="s">
        <v>834</v>
      </c>
      <c r="CG63" s="175"/>
      <c r="CH63" s="167">
        <v>4.5</v>
      </c>
      <c r="CI63" s="168" t="s">
        <v>1299</v>
      </c>
      <c r="CJ63" s="167" t="s">
        <v>834</v>
      </c>
      <c r="CK63" s="168"/>
      <c r="CL63" s="445">
        <v>6.25</v>
      </c>
      <c r="CM63" s="461" t="s">
        <v>1300</v>
      </c>
      <c r="CN63" s="385" t="s">
        <v>834</v>
      </c>
      <c r="CO63" s="167"/>
      <c r="CP63" s="167" t="s">
        <v>834</v>
      </c>
      <c r="CQ63" s="167"/>
      <c r="CR63" s="373" t="s">
        <v>834</v>
      </c>
      <c r="CS63" s="373"/>
      <c r="CT63" s="164">
        <v>3.8519999999999999</v>
      </c>
      <c r="CU63" s="168" t="s">
        <v>1301</v>
      </c>
      <c r="CV63" s="432" t="s">
        <v>834</v>
      </c>
      <c r="CW63" s="168" t="s">
        <v>1302</v>
      </c>
      <c r="CX63" s="168" t="s">
        <v>834</v>
      </c>
      <c r="CY63" s="168"/>
      <c r="CZ63" s="173" t="s">
        <v>834</v>
      </c>
      <c r="DA63" s="171" t="s">
        <v>1303</v>
      </c>
      <c r="DB63" s="371" t="s">
        <v>546</v>
      </c>
      <c r="DC63" s="371">
        <f t="shared" si="5"/>
        <v>14</v>
      </c>
      <c r="DD63" s="371"/>
      <c r="DE63" s="371"/>
      <c r="DF63" s="371"/>
      <c r="DG63" s="371"/>
      <c r="DH63" s="371"/>
      <c r="DI63" s="371"/>
      <c r="DJ63" s="371"/>
      <c r="DK63" s="371"/>
      <c r="DL63" s="371"/>
      <c r="DM63" s="371"/>
      <c r="DN63" s="371"/>
      <c r="DO63" s="371"/>
      <c r="DP63" s="371"/>
      <c r="DQ63" s="371"/>
      <c r="DR63" s="371"/>
    </row>
    <row r="64" spans="1:122" ht="18.75" x14ac:dyDescent="0.3">
      <c r="A64" s="389"/>
      <c r="B64" s="484"/>
      <c r="C64" s="391" t="s">
        <v>1304</v>
      </c>
      <c r="D64" s="392"/>
      <c r="E64" s="393"/>
      <c r="F64" s="394"/>
      <c r="G64" s="394"/>
      <c r="H64" s="421"/>
      <c r="I64" s="401"/>
      <c r="J64" s="394"/>
      <c r="K64" s="397"/>
      <c r="L64" s="438"/>
      <c r="M64" s="401"/>
      <c r="N64" s="438"/>
      <c r="O64" s="172"/>
      <c r="P64" s="400"/>
      <c r="Q64" s="401"/>
      <c r="R64" s="402"/>
      <c r="S64" s="407"/>
      <c r="T64" s="485"/>
      <c r="U64" s="486"/>
      <c r="V64" s="405"/>
      <c r="W64" s="406"/>
      <c r="X64" s="407"/>
      <c r="Y64" s="407"/>
      <c r="Z64" s="407"/>
      <c r="AA64" s="407"/>
      <c r="AB64" s="407"/>
      <c r="AC64" s="407"/>
      <c r="AD64" s="408"/>
      <c r="AE64" s="407"/>
      <c r="AF64" s="394"/>
      <c r="AG64" s="172"/>
      <c r="AH64" s="407"/>
      <c r="AI64" s="407"/>
      <c r="AJ64" s="421"/>
      <c r="AK64" s="409"/>
      <c r="AL64" s="407"/>
      <c r="AM64" s="407"/>
      <c r="AN64" s="438"/>
      <c r="AO64" s="172"/>
      <c r="AP64" s="416"/>
      <c r="AQ64" s="407"/>
      <c r="AR64" s="394"/>
      <c r="AS64" s="172"/>
      <c r="AT64" s="394"/>
      <c r="AU64" s="172"/>
      <c r="AV64" s="411"/>
      <c r="AW64" s="407"/>
      <c r="AX64" s="412"/>
      <c r="AY64" s="421"/>
      <c r="AZ64" s="407"/>
      <c r="BA64" s="401"/>
      <c r="BB64" s="163"/>
      <c r="BC64" s="407"/>
      <c r="BD64" s="487"/>
      <c r="BE64" s="401"/>
      <c r="BF64" s="415"/>
      <c r="BG64" s="170"/>
      <c r="BH64" s="416"/>
      <c r="BI64" s="407"/>
      <c r="BJ64" s="407"/>
      <c r="BK64" s="170"/>
      <c r="BL64" s="407"/>
      <c r="BM64" s="407"/>
      <c r="BN64" s="394"/>
      <c r="BO64" s="172"/>
      <c r="BP64" s="418"/>
      <c r="BQ64" s="419"/>
      <c r="BR64" s="407"/>
      <c r="BS64" s="407"/>
      <c r="BT64" s="407"/>
      <c r="BU64" s="407"/>
      <c r="BV64" s="407"/>
      <c r="BW64" s="407"/>
      <c r="BX64" s="420"/>
      <c r="BY64" s="172"/>
      <c r="BZ64" s="416"/>
      <c r="CA64" s="170"/>
      <c r="CB64" s="407"/>
      <c r="CC64" s="170" t="s">
        <v>1305</v>
      </c>
      <c r="CD64" s="394" t="s">
        <v>546</v>
      </c>
      <c r="CE64" s="172"/>
      <c r="CF64" s="407"/>
      <c r="CG64" s="399"/>
      <c r="CH64" s="407"/>
      <c r="CI64" s="170"/>
      <c r="CJ64" s="407"/>
      <c r="CK64" s="407"/>
      <c r="CL64" s="400"/>
      <c r="CM64" s="407"/>
      <c r="CN64" s="400"/>
      <c r="CO64" s="407"/>
      <c r="CP64" s="407"/>
      <c r="CQ64" s="407"/>
      <c r="CR64" s="421"/>
      <c r="CS64" s="421"/>
      <c r="CT64" s="416"/>
      <c r="CU64" s="170"/>
      <c r="CV64" s="416"/>
      <c r="CW64" s="170"/>
      <c r="CX64" s="170"/>
      <c r="CY64" s="170"/>
      <c r="CZ64" s="394"/>
      <c r="DA64" s="172"/>
      <c r="DB64" s="397"/>
      <c r="DC64" s="397"/>
      <c r="DD64" s="397"/>
      <c r="DE64" s="397"/>
      <c r="DF64" s="397"/>
      <c r="DG64" s="397"/>
      <c r="DH64" s="397"/>
      <c r="DI64" s="397"/>
      <c r="DJ64" s="397"/>
      <c r="DK64" s="397"/>
      <c r="DL64" s="397"/>
      <c r="DM64" s="397"/>
      <c r="DN64" s="397"/>
      <c r="DO64" s="397"/>
      <c r="DP64" s="397"/>
      <c r="DQ64" s="397"/>
      <c r="DR64" s="397"/>
    </row>
    <row r="65" spans="1:122" ht="18.75" x14ac:dyDescent="0.3">
      <c r="A65" s="325">
        <v>5171</v>
      </c>
      <c r="B65" s="326">
        <v>37</v>
      </c>
      <c r="C65" s="327" t="s">
        <v>1128</v>
      </c>
      <c r="D65" s="424">
        <v>6</v>
      </c>
      <c r="E65" s="328" t="s">
        <v>1129</v>
      </c>
      <c r="F65" s="173" t="s">
        <v>546</v>
      </c>
      <c r="G65" s="173"/>
      <c r="H65" s="373">
        <v>6.5</v>
      </c>
      <c r="I65" s="427" t="s">
        <v>1130</v>
      </c>
      <c r="J65" s="173">
        <v>5.6</v>
      </c>
      <c r="K65" s="371" t="s">
        <v>1306</v>
      </c>
      <c r="L65" s="426" t="s">
        <v>834</v>
      </c>
      <c r="M65" s="427" t="s">
        <v>1307</v>
      </c>
      <c r="N65" s="173">
        <v>2.9</v>
      </c>
      <c r="O65" s="171"/>
      <c r="P65" s="385">
        <v>6.35</v>
      </c>
      <c r="Q65" s="427" t="s">
        <v>1133</v>
      </c>
      <c r="R65" s="374" t="s">
        <v>834</v>
      </c>
      <c r="S65" s="444"/>
      <c r="T65" s="428">
        <v>5.75</v>
      </c>
      <c r="U65" s="376"/>
      <c r="V65" s="441">
        <v>7.44</v>
      </c>
      <c r="W65" s="377" t="s">
        <v>1135</v>
      </c>
      <c r="X65" s="167">
        <v>4</v>
      </c>
      <c r="Y65" s="168" t="s">
        <v>1136</v>
      </c>
      <c r="Z65" s="165">
        <v>5.8849999999999998</v>
      </c>
      <c r="AA65" s="168" t="s">
        <v>1308</v>
      </c>
      <c r="AB65" s="167" t="s">
        <v>834</v>
      </c>
      <c r="AC65" s="168"/>
      <c r="AD65" s="430">
        <v>7</v>
      </c>
      <c r="AE65" s="168"/>
      <c r="AF65" s="173">
        <v>7</v>
      </c>
      <c r="AG65" s="171"/>
      <c r="AH65" s="167">
        <v>6</v>
      </c>
      <c r="AI65" s="168"/>
      <c r="AJ65" s="373">
        <v>6.5</v>
      </c>
      <c r="AK65" s="431" t="s">
        <v>863</v>
      </c>
      <c r="AL65" s="167" t="s">
        <v>995</v>
      </c>
      <c r="AM65" s="168" t="s">
        <v>1138</v>
      </c>
      <c r="AN65" s="173">
        <v>3</v>
      </c>
      <c r="AO65" s="171"/>
      <c r="AP65" s="475">
        <v>6</v>
      </c>
      <c r="AQ65" s="453" t="s">
        <v>1178</v>
      </c>
      <c r="AR65" s="173" t="s">
        <v>834</v>
      </c>
      <c r="AS65" s="171"/>
      <c r="AT65" s="173">
        <v>6.25</v>
      </c>
      <c r="AU65" s="171" t="s">
        <v>1309</v>
      </c>
      <c r="AV65" s="381">
        <v>6</v>
      </c>
      <c r="AW65" s="168"/>
      <c r="AX65" s="443">
        <v>6.875</v>
      </c>
      <c r="AY65" s="427"/>
      <c r="AZ65" s="167">
        <v>7</v>
      </c>
      <c r="BA65" s="427"/>
      <c r="BB65" s="164">
        <v>4.2249999999999996</v>
      </c>
      <c r="BC65" s="168"/>
      <c r="BD65" s="434">
        <v>3.7499999999999999E-2</v>
      </c>
      <c r="BE65" s="427" t="s">
        <v>1141</v>
      </c>
      <c r="BF65" s="384">
        <v>5.5</v>
      </c>
      <c r="BG65" s="168"/>
      <c r="BH65" s="432" t="s">
        <v>834</v>
      </c>
      <c r="BI65" s="168"/>
      <c r="BJ65" s="373">
        <v>7</v>
      </c>
      <c r="BK65" s="168" t="s">
        <v>1142</v>
      </c>
      <c r="BL65" s="167">
        <v>6.875</v>
      </c>
      <c r="BM65" s="168"/>
      <c r="BN65" s="173">
        <v>5.125</v>
      </c>
      <c r="BO65" s="171" t="s">
        <v>1310</v>
      </c>
      <c r="BP65" s="435">
        <v>4</v>
      </c>
      <c r="BQ65" s="436"/>
      <c r="BR65" s="167">
        <v>7</v>
      </c>
      <c r="BS65" s="168"/>
      <c r="BT65" s="167">
        <v>5</v>
      </c>
      <c r="BU65" s="476" t="s">
        <v>1143</v>
      </c>
      <c r="BV65" s="429">
        <v>5.75</v>
      </c>
      <c r="BW65" s="168"/>
      <c r="BX65" s="437">
        <v>4.5</v>
      </c>
      <c r="BY65" s="171"/>
      <c r="BZ65" s="432"/>
      <c r="CA65" s="168" t="s">
        <v>1144</v>
      </c>
      <c r="CB65" s="167">
        <v>6</v>
      </c>
      <c r="CC65" s="168" t="s">
        <v>1311</v>
      </c>
      <c r="CD65" s="173">
        <v>12</v>
      </c>
      <c r="CE65" s="171" t="s">
        <v>1145</v>
      </c>
      <c r="CF65" s="167">
        <v>6</v>
      </c>
      <c r="CG65" s="175" t="s">
        <v>1312</v>
      </c>
      <c r="CH65" s="167">
        <v>4.5</v>
      </c>
      <c r="CI65" s="168" t="s">
        <v>1147</v>
      </c>
      <c r="CJ65" s="167">
        <v>7</v>
      </c>
      <c r="CK65" s="168" t="s">
        <v>1313</v>
      </c>
      <c r="CL65" s="385">
        <v>6.25</v>
      </c>
      <c r="CM65" s="168"/>
      <c r="CN65" s="445">
        <v>4.7</v>
      </c>
      <c r="CO65" s="168" t="s">
        <v>1148</v>
      </c>
      <c r="CP65" s="167">
        <v>6</v>
      </c>
      <c r="CQ65" s="168"/>
      <c r="CR65" s="373" t="s">
        <v>834</v>
      </c>
      <c r="CS65" s="454" t="s">
        <v>1149</v>
      </c>
      <c r="CT65" s="432">
        <v>6.5</v>
      </c>
      <c r="CU65" s="168" t="s">
        <v>1314</v>
      </c>
      <c r="CV65" s="432" t="s">
        <v>834</v>
      </c>
      <c r="CW65" s="168"/>
      <c r="CX65" s="168">
        <v>5</v>
      </c>
      <c r="CY65" s="168"/>
      <c r="CZ65" s="173">
        <v>4</v>
      </c>
      <c r="DA65" s="171" t="s">
        <v>1150</v>
      </c>
      <c r="DB65" s="371" t="s">
        <v>546</v>
      </c>
      <c r="DC65" s="371">
        <f t="shared" ref="DC65:DC72" si="7">COUNT(D65:CZ65)</f>
        <v>41</v>
      </c>
      <c r="DD65" s="371"/>
      <c r="DE65" s="371"/>
      <c r="DF65" s="371"/>
      <c r="DG65" s="371"/>
      <c r="DH65" s="371"/>
      <c r="DI65" s="371"/>
      <c r="DJ65" s="371"/>
      <c r="DK65" s="371"/>
      <c r="DL65" s="371"/>
      <c r="DM65" s="371"/>
      <c r="DN65" s="371"/>
      <c r="DO65" s="371"/>
      <c r="DP65" s="371"/>
      <c r="DQ65" s="371"/>
      <c r="DR65" s="371"/>
    </row>
    <row r="66" spans="1:122" ht="18.75" x14ac:dyDescent="0.3">
      <c r="A66" s="325">
        <v>5171</v>
      </c>
      <c r="B66" s="326">
        <v>38</v>
      </c>
      <c r="C66" s="327" t="s">
        <v>1151</v>
      </c>
      <c r="D66" s="424">
        <v>6</v>
      </c>
      <c r="E66" s="328" t="s">
        <v>1129</v>
      </c>
      <c r="F66" s="173" t="s">
        <v>546</v>
      </c>
      <c r="G66" s="173"/>
      <c r="H66" s="373">
        <v>6.5</v>
      </c>
      <c r="I66" s="427" t="s">
        <v>1153</v>
      </c>
      <c r="J66" s="173" t="s">
        <v>834</v>
      </c>
      <c r="K66" s="371" t="s">
        <v>1315</v>
      </c>
      <c r="L66" s="426" t="s">
        <v>834</v>
      </c>
      <c r="M66" s="427"/>
      <c r="N66" s="173" t="s">
        <v>834</v>
      </c>
      <c r="O66" s="171" t="s">
        <v>1155</v>
      </c>
      <c r="P66" s="385">
        <v>6.35</v>
      </c>
      <c r="Q66" s="427" t="s">
        <v>1156</v>
      </c>
      <c r="R66" s="374" t="s">
        <v>834</v>
      </c>
      <c r="S66" s="444"/>
      <c r="T66" s="469">
        <v>10</v>
      </c>
      <c r="U66" s="376" t="s">
        <v>1316</v>
      </c>
      <c r="V66" s="441">
        <v>7.44</v>
      </c>
      <c r="W66" s="377" t="s">
        <v>1135</v>
      </c>
      <c r="X66" s="167" t="s">
        <v>834</v>
      </c>
      <c r="Y66" s="168" t="s">
        <v>856</v>
      </c>
      <c r="Z66" s="373">
        <v>4</v>
      </c>
      <c r="AA66" s="168" t="s">
        <v>1158</v>
      </c>
      <c r="AB66" s="167" t="s">
        <v>834</v>
      </c>
      <c r="AC66" s="168"/>
      <c r="AD66" s="430">
        <v>7</v>
      </c>
      <c r="AE66" s="168"/>
      <c r="AF66" s="173" t="s">
        <v>834</v>
      </c>
      <c r="AG66" s="171"/>
      <c r="AH66" s="167" t="s">
        <v>834</v>
      </c>
      <c r="AI66" s="168"/>
      <c r="AJ66" s="373">
        <v>6.5</v>
      </c>
      <c r="AK66" s="431" t="s">
        <v>863</v>
      </c>
      <c r="AL66" s="167" t="s">
        <v>995</v>
      </c>
      <c r="AM66" s="478" t="s">
        <v>1317</v>
      </c>
      <c r="AN66" s="173">
        <v>1</v>
      </c>
      <c r="AO66" s="171" t="s">
        <v>1160</v>
      </c>
      <c r="AP66" s="432">
        <v>6</v>
      </c>
      <c r="AQ66" s="453" t="s">
        <v>1178</v>
      </c>
      <c r="AR66" s="173" t="s">
        <v>834</v>
      </c>
      <c r="AS66" s="171"/>
      <c r="AT66" s="173">
        <v>6.25</v>
      </c>
      <c r="AU66" s="171"/>
      <c r="AV66" s="381">
        <v>6</v>
      </c>
      <c r="AW66" s="168" t="s">
        <v>1318</v>
      </c>
      <c r="AX66" s="443">
        <v>6.875</v>
      </c>
      <c r="AY66" s="427"/>
      <c r="AZ66" s="429">
        <v>7</v>
      </c>
      <c r="BA66" s="427"/>
      <c r="BB66" s="164" t="s">
        <v>834</v>
      </c>
      <c r="BC66" s="168"/>
      <c r="BD66" s="479"/>
      <c r="BE66" s="427"/>
      <c r="BF66" s="384" t="s">
        <v>834</v>
      </c>
      <c r="BG66" s="168"/>
      <c r="BH66" s="432" t="s">
        <v>834</v>
      </c>
      <c r="BI66" s="168"/>
      <c r="BJ66" s="373">
        <v>7</v>
      </c>
      <c r="BK66" s="168" t="s">
        <v>1142</v>
      </c>
      <c r="BL66" s="167">
        <v>6.875</v>
      </c>
      <c r="BM66" s="168"/>
      <c r="BN66" s="173">
        <v>4.25</v>
      </c>
      <c r="BO66" s="171" t="s">
        <v>1163</v>
      </c>
      <c r="BP66" s="435" t="s">
        <v>834</v>
      </c>
      <c r="BQ66" s="436"/>
      <c r="BR66" s="167">
        <v>7</v>
      </c>
      <c r="BS66" s="168"/>
      <c r="BT66" s="167" t="s">
        <v>834</v>
      </c>
      <c r="BU66" s="476"/>
      <c r="BV66" s="429">
        <v>5.75</v>
      </c>
      <c r="BW66" s="168" t="s">
        <v>1164</v>
      </c>
      <c r="BX66" s="437">
        <v>4.5</v>
      </c>
      <c r="BY66" s="171"/>
      <c r="BZ66" s="432"/>
      <c r="CA66" s="168" t="s">
        <v>1144</v>
      </c>
      <c r="CB66" s="167">
        <v>6</v>
      </c>
      <c r="CC66" s="168" t="s">
        <v>1311</v>
      </c>
      <c r="CD66" s="173">
        <v>12</v>
      </c>
      <c r="CE66" s="171" t="s">
        <v>1145</v>
      </c>
      <c r="CF66" s="167" t="s">
        <v>834</v>
      </c>
      <c r="CG66" s="175" t="s">
        <v>1312</v>
      </c>
      <c r="CH66" s="373">
        <v>4.5</v>
      </c>
      <c r="CI66" s="168" t="s">
        <v>1167</v>
      </c>
      <c r="CJ66" s="373">
        <v>7</v>
      </c>
      <c r="CK66" s="444" t="s">
        <v>1319</v>
      </c>
      <c r="CL66" s="445">
        <v>6.25</v>
      </c>
      <c r="CM66" s="168" t="s">
        <v>1320</v>
      </c>
      <c r="CN66" s="445" t="s">
        <v>834</v>
      </c>
      <c r="CO66" s="168" t="s">
        <v>1148</v>
      </c>
      <c r="CP66" s="167">
        <v>6</v>
      </c>
      <c r="CQ66" s="168"/>
      <c r="CR66" s="373" t="s">
        <v>834</v>
      </c>
      <c r="CS66" s="454" t="s">
        <v>1149</v>
      </c>
      <c r="CT66" s="432">
        <v>6.5</v>
      </c>
      <c r="CU66" s="168" t="s">
        <v>938</v>
      </c>
      <c r="CV66" s="432" t="s">
        <v>834</v>
      </c>
      <c r="CW66" s="168"/>
      <c r="CX66" s="168">
        <v>5</v>
      </c>
      <c r="CY66" s="168" t="s">
        <v>1170</v>
      </c>
      <c r="CZ66" s="173" t="s">
        <v>834</v>
      </c>
      <c r="DA66" s="171"/>
      <c r="DB66" s="371" t="s">
        <v>546</v>
      </c>
      <c r="DC66" s="371">
        <f t="shared" si="7"/>
        <v>28</v>
      </c>
      <c r="DD66" s="371"/>
      <c r="DE66" s="371"/>
      <c r="DF66" s="371"/>
      <c r="DG66" s="371"/>
      <c r="DH66" s="371"/>
      <c r="DI66" s="371"/>
      <c r="DJ66" s="371"/>
      <c r="DK66" s="371"/>
      <c r="DL66" s="371"/>
      <c r="DM66" s="371"/>
      <c r="DN66" s="371"/>
      <c r="DO66" s="371"/>
      <c r="DP66" s="371"/>
      <c r="DQ66" s="371"/>
      <c r="DR66" s="371"/>
    </row>
    <row r="67" spans="1:122" ht="18.75" x14ac:dyDescent="0.3">
      <c r="A67" s="325">
        <v>51721</v>
      </c>
      <c r="B67" s="326">
        <v>39</v>
      </c>
      <c r="C67" s="327" t="s">
        <v>1171</v>
      </c>
      <c r="D67" s="424">
        <v>6</v>
      </c>
      <c r="E67" s="480" t="s">
        <v>1172</v>
      </c>
      <c r="F67" s="173" t="s">
        <v>546</v>
      </c>
      <c r="G67" s="173"/>
      <c r="H67" s="373">
        <v>6.5</v>
      </c>
      <c r="I67" s="427"/>
      <c r="J67" s="173">
        <v>5.6</v>
      </c>
      <c r="K67" s="371" t="s">
        <v>1321</v>
      </c>
      <c r="L67" s="426" t="s">
        <v>834</v>
      </c>
      <c r="M67" s="427" t="s">
        <v>1307</v>
      </c>
      <c r="N67" s="173">
        <v>2.9</v>
      </c>
      <c r="O67" s="171"/>
      <c r="P67" s="385">
        <v>6.35</v>
      </c>
      <c r="Q67" s="427"/>
      <c r="R67" s="455">
        <v>5</v>
      </c>
      <c r="S67" s="444" t="s">
        <v>1322</v>
      </c>
      <c r="T67" s="469">
        <v>10</v>
      </c>
      <c r="U67" s="376" t="s">
        <v>1323</v>
      </c>
      <c r="V67" s="441">
        <v>7.44</v>
      </c>
      <c r="W67" s="377" t="s">
        <v>1135</v>
      </c>
      <c r="X67" s="167">
        <v>4</v>
      </c>
      <c r="Y67" s="168" t="s">
        <v>1136</v>
      </c>
      <c r="Z67" s="165">
        <v>5.8849999999999998</v>
      </c>
      <c r="AA67" s="168" t="s">
        <v>1324</v>
      </c>
      <c r="AB67" s="167" t="s">
        <v>834</v>
      </c>
      <c r="AC67" s="168"/>
      <c r="AD67" s="430">
        <v>7</v>
      </c>
      <c r="AE67" s="168"/>
      <c r="AF67" s="173">
        <v>7</v>
      </c>
      <c r="AG67" s="171" t="s">
        <v>1325</v>
      </c>
      <c r="AH67" s="167">
        <v>6</v>
      </c>
      <c r="AI67" s="168"/>
      <c r="AJ67" s="373">
        <v>6.5</v>
      </c>
      <c r="AK67" s="431" t="s">
        <v>863</v>
      </c>
      <c r="AL67" s="167" t="s">
        <v>995</v>
      </c>
      <c r="AM67" s="168" t="s">
        <v>1326</v>
      </c>
      <c r="AN67" s="173">
        <v>3</v>
      </c>
      <c r="AO67" s="171"/>
      <c r="AP67" s="475">
        <v>6</v>
      </c>
      <c r="AQ67" s="453" t="s">
        <v>1178</v>
      </c>
      <c r="AR67" s="173">
        <v>6</v>
      </c>
      <c r="AS67" s="171"/>
      <c r="AT67" s="173">
        <v>6.25</v>
      </c>
      <c r="AU67" s="171"/>
      <c r="AV67" s="381">
        <v>6</v>
      </c>
      <c r="AW67" s="168"/>
      <c r="AX67" s="443">
        <v>6.875</v>
      </c>
      <c r="AY67" s="427"/>
      <c r="AZ67" s="167">
        <v>7</v>
      </c>
      <c r="BA67" s="427"/>
      <c r="BB67" s="164">
        <v>4.2249999999999996</v>
      </c>
      <c r="BC67" s="168"/>
      <c r="BD67" s="434">
        <v>3.7499999999999999E-2</v>
      </c>
      <c r="BE67" s="427" t="s">
        <v>1180</v>
      </c>
      <c r="BF67" s="384">
        <v>5.5</v>
      </c>
      <c r="BG67" s="168" t="s">
        <v>1181</v>
      </c>
      <c r="BH67" s="432" t="s">
        <v>834</v>
      </c>
      <c r="BI67" s="168"/>
      <c r="BJ67" s="373">
        <v>7</v>
      </c>
      <c r="BK67" s="168" t="s">
        <v>1142</v>
      </c>
      <c r="BL67" s="167">
        <v>6.875</v>
      </c>
      <c r="BM67" s="168"/>
      <c r="BN67" s="173">
        <v>5.125</v>
      </c>
      <c r="BO67" s="171" t="s">
        <v>1327</v>
      </c>
      <c r="BP67" s="435">
        <v>4</v>
      </c>
      <c r="BQ67" s="436"/>
      <c r="BR67" s="167">
        <v>7</v>
      </c>
      <c r="BS67" s="168"/>
      <c r="BT67" s="167">
        <v>5</v>
      </c>
      <c r="BU67" s="476"/>
      <c r="BV67" s="429">
        <v>5.75</v>
      </c>
      <c r="BW67" s="168"/>
      <c r="BX67" s="437">
        <v>4.5</v>
      </c>
      <c r="BY67" s="171"/>
      <c r="BZ67" s="432"/>
      <c r="CA67" s="168" t="s">
        <v>1144</v>
      </c>
      <c r="CB67" s="167">
        <v>6</v>
      </c>
      <c r="CC67" s="168"/>
      <c r="CD67" s="173">
        <v>12</v>
      </c>
      <c r="CE67" s="171" t="s">
        <v>1145</v>
      </c>
      <c r="CF67" s="167">
        <v>6</v>
      </c>
      <c r="CG67" s="175" t="s">
        <v>1328</v>
      </c>
      <c r="CH67" s="167">
        <v>4.5</v>
      </c>
      <c r="CI67" s="168"/>
      <c r="CJ67" s="167">
        <v>7</v>
      </c>
      <c r="CK67" s="444" t="s">
        <v>1183</v>
      </c>
      <c r="CL67" s="385">
        <v>6.25</v>
      </c>
      <c r="CM67" s="168"/>
      <c r="CN67" s="445">
        <v>4.7</v>
      </c>
      <c r="CO67" s="168" t="s">
        <v>1148</v>
      </c>
      <c r="CP67" s="167">
        <v>6</v>
      </c>
      <c r="CQ67" s="168"/>
      <c r="CR67" s="373" t="s">
        <v>834</v>
      </c>
      <c r="CS67" s="454" t="s">
        <v>1184</v>
      </c>
      <c r="CT67" s="432">
        <v>6.5</v>
      </c>
      <c r="CU67" s="168" t="s">
        <v>938</v>
      </c>
      <c r="CV67" s="432" t="s">
        <v>834</v>
      </c>
      <c r="CW67" s="168"/>
      <c r="CX67" s="168">
        <v>5</v>
      </c>
      <c r="CY67" s="168" t="s">
        <v>1185</v>
      </c>
      <c r="CZ67" s="173">
        <v>4</v>
      </c>
      <c r="DA67" s="171" t="s">
        <v>1150</v>
      </c>
      <c r="DB67" s="371" t="s">
        <v>546</v>
      </c>
      <c r="DC67" s="371">
        <f t="shared" si="7"/>
        <v>43</v>
      </c>
      <c r="DD67" s="371"/>
      <c r="DE67" s="371"/>
      <c r="DF67" s="371"/>
      <c r="DG67" s="371"/>
      <c r="DH67" s="371"/>
      <c r="DI67" s="371"/>
      <c r="DJ67" s="371"/>
      <c r="DK67" s="371"/>
      <c r="DL67" s="371"/>
      <c r="DM67" s="371"/>
      <c r="DN67" s="371"/>
      <c r="DO67" s="371"/>
      <c r="DP67" s="371"/>
      <c r="DQ67" s="371"/>
      <c r="DR67" s="371"/>
    </row>
    <row r="68" spans="1:122" ht="18.75" x14ac:dyDescent="0.3">
      <c r="A68" s="325">
        <v>2211</v>
      </c>
      <c r="B68" s="326">
        <v>40</v>
      </c>
      <c r="C68" s="327" t="s">
        <v>1186</v>
      </c>
      <c r="D68" s="424">
        <v>4</v>
      </c>
      <c r="E68" s="328" t="s">
        <v>1329</v>
      </c>
      <c r="F68" s="173" t="s">
        <v>546</v>
      </c>
      <c r="G68" s="173"/>
      <c r="H68" s="373">
        <v>6.5</v>
      </c>
      <c r="I68" s="427" t="s">
        <v>1330</v>
      </c>
      <c r="J68" s="173">
        <v>5.6</v>
      </c>
      <c r="K68" s="371" t="s">
        <v>1189</v>
      </c>
      <c r="L68" s="488" t="s">
        <v>834</v>
      </c>
      <c r="M68" s="427" t="s">
        <v>1307</v>
      </c>
      <c r="N68" s="173" t="s">
        <v>834</v>
      </c>
      <c r="O68" s="171" t="s">
        <v>1331</v>
      </c>
      <c r="P68" s="385" t="s">
        <v>834</v>
      </c>
      <c r="Q68" s="427"/>
      <c r="R68" s="374" t="s">
        <v>834</v>
      </c>
      <c r="S68" s="444"/>
      <c r="T68" s="428">
        <v>10</v>
      </c>
      <c r="U68" s="376" t="s">
        <v>1332</v>
      </c>
      <c r="V68" s="441" t="s">
        <v>834</v>
      </c>
      <c r="W68" s="377" t="s">
        <v>1333</v>
      </c>
      <c r="X68" s="167">
        <v>4</v>
      </c>
      <c r="Y68" s="168"/>
      <c r="Z68" s="165">
        <v>5.8849999999999998</v>
      </c>
      <c r="AA68" s="168" t="s">
        <v>1334</v>
      </c>
      <c r="AB68" s="167" t="s">
        <v>834</v>
      </c>
      <c r="AC68" s="168"/>
      <c r="AD68" s="430">
        <v>5</v>
      </c>
      <c r="AE68" s="168"/>
      <c r="AF68" s="173">
        <v>7</v>
      </c>
      <c r="AG68" s="171" t="s">
        <v>546</v>
      </c>
      <c r="AH68" s="489" t="s">
        <v>834</v>
      </c>
      <c r="AI68" s="453"/>
      <c r="AJ68" s="373" t="s">
        <v>834</v>
      </c>
      <c r="AK68" s="431" t="s">
        <v>1335</v>
      </c>
      <c r="AL68" s="167" t="s">
        <v>834</v>
      </c>
      <c r="AM68" s="168" t="s">
        <v>1336</v>
      </c>
      <c r="AN68" s="173" t="s">
        <v>834</v>
      </c>
      <c r="AO68" s="171" t="s">
        <v>1337</v>
      </c>
      <c r="AP68" s="475">
        <v>5.5</v>
      </c>
      <c r="AQ68" s="168" t="s">
        <v>1338</v>
      </c>
      <c r="AR68" s="173" t="s">
        <v>834</v>
      </c>
      <c r="AS68" s="171"/>
      <c r="AT68" s="173" t="s">
        <v>834</v>
      </c>
      <c r="AU68" s="171"/>
      <c r="AV68" s="381">
        <v>4</v>
      </c>
      <c r="AW68" s="168" t="s">
        <v>1339</v>
      </c>
      <c r="AX68" s="443">
        <v>6.875</v>
      </c>
      <c r="AY68" s="427" t="s">
        <v>1340</v>
      </c>
      <c r="AZ68" s="167" t="s">
        <v>834</v>
      </c>
      <c r="BA68" s="427"/>
      <c r="BB68" s="165" t="s">
        <v>834</v>
      </c>
      <c r="BC68" s="168" t="s">
        <v>1341</v>
      </c>
      <c r="BD68" s="459">
        <f>0.1%+0.39%</f>
        <v>4.8999999999999998E-3</v>
      </c>
      <c r="BE68" s="427" t="s">
        <v>1208</v>
      </c>
      <c r="BF68" s="384">
        <v>5.5</v>
      </c>
      <c r="BG68" s="168"/>
      <c r="BH68" s="432" t="s">
        <v>834</v>
      </c>
      <c r="BI68" s="168"/>
      <c r="BJ68" s="373" t="s">
        <v>546</v>
      </c>
      <c r="BK68" s="168" t="s">
        <v>1210</v>
      </c>
      <c r="BL68" s="167">
        <v>6.875</v>
      </c>
      <c r="BM68" s="483"/>
      <c r="BN68" s="173">
        <v>5.125</v>
      </c>
      <c r="BO68" s="171"/>
      <c r="BP68" s="435" t="s">
        <v>834</v>
      </c>
      <c r="BQ68" s="436" t="s">
        <v>1342</v>
      </c>
      <c r="BR68" s="167">
        <v>7</v>
      </c>
      <c r="BS68" s="168"/>
      <c r="BT68" s="167" t="s">
        <v>834</v>
      </c>
      <c r="BU68" s="168"/>
      <c r="BV68" s="167" t="s">
        <v>834</v>
      </c>
      <c r="BW68" s="168" t="s">
        <v>1213</v>
      </c>
      <c r="BX68" s="437" t="s">
        <v>834</v>
      </c>
      <c r="BY68" s="171" t="s">
        <v>1343</v>
      </c>
      <c r="BZ68" s="432" t="s">
        <v>546</v>
      </c>
      <c r="CA68" s="168"/>
      <c r="CB68" s="167" t="s">
        <v>834</v>
      </c>
      <c r="CC68" s="168"/>
      <c r="CD68" s="173">
        <v>4</v>
      </c>
      <c r="CE68" s="171" t="s">
        <v>1344</v>
      </c>
      <c r="CF68" s="373" t="s">
        <v>834</v>
      </c>
      <c r="CG68" s="175" t="s">
        <v>1345</v>
      </c>
      <c r="CH68" s="167">
        <v>4.5</v>
      </c>
      <c r="CI68" s="168" t="s">
        <v>1218</v>
      </c>
      <c r="CJ68" s="167" t="s">
        <v>834</v>
      </c>
      <c r="CK68" s="168"/>
      <c r="CL68" s="385" t="s">
        <v>834</v>
      </c>
      <c r="CM68" s="168" t="s">
        <v>1346</v>
      </c>
      <c r="CN68" s="435">
        <v>2</v>
      </c>
      <c r="CO68" s="168" t="s">
        <v>1221</v>
      </c>
      <c r="CP68" s="167" t="s">
        <v>834</v>
      </c>
      <c r="CQ68" s="168" t="s">
        <v>1347</v>
      </c>
      <c r="CR68" s="373" t="s">
        <v>834</v>
      </c>
      <c r="CS68" s="427"/>
      <c r="CT68" s="164">
        <v>3.8730000000000002</v>
      </c>
      <c r="CU68" s="168" t="s">
        <v>1224</v>
      </c>
      <c r="CV68" s="432" t="s">
        <v>995</v>
      </c>
      <c r="CW68" s="168" t="s">
        <v>1225</v>
      </c>
      <c r="CX68" s="168">
        <v>5</v>
      </c>
      <c r="CY68" s="168" t="s">
        <v>1348</v>
      </c>
      <c r="CZ68" s="173">
        <v>4</v>
      </c>
      <c r="DA68" s="171" t="s">
        <v>1349</v>
      </c>
      <c r="DB68" s="371" t="s">
        <v>546</v>
      </c>
      <c r="DC68" s="371">
        <f t="shared" si="7"/>
        <v>22</v>
      </c>
      <c r="DD68" s="371"/>
      <c r="DE68" s="371"/>
      <c r="DF68" s="371"/>
      <c r="DG68" s="371"/>
      <c r="DH68" s="371"/>
      <c r="DI68" s="371"/>
      <c r="DJ68" s="371"/>
      <c r="DK68" s="371"/>
      <c r="DL68" s="371"/>
      <c r="DM68" s="371"/>
      <c r="DN68" s="371"/>
      <c r="DO68" s="371"/>
      <c r="DP68" s="371"/>
      <c r="DQ68" s="371"/>
      <c r="DR68" s="371"/>
    </row>
    <row r="69" spans="1:122" ht="18.75" x14ac:dyDescent="0.3">
      <c r="A69" s="325">
        <v>2213</v>
      </c>
      <c r="B69" s="326">
        <v>41</v>
      </c>
      <c r="C69" s="327" t="s">
        <v>1228</v>
      </c>
      <c r="D69" s="424">
        <v>4</v>
      </c>
      <c r="E69" s="328" t="s">
        <v>1329</v>
      </c>
      <c r="F69" s="173" t="s">
        <v>546</v>
      </c>
      <c r="G69" s="173"/>
      <c r="H69" s="373">
        <v>6.5</v>
      </c>
      <c r="I69" s="427"/>
      <c r="J69" s="173">
        <v>5.6</v>
      </c>
      <c r="K69" s="371" t="s">
        <v>1189</v>
      </c>
      <c r="L69" s="426" t="s">
        <v>834</v>
      </c>
      <c r="M69" s="427" t="s">
        <v>1307</v>
      </c>
      <c r="N69" s="173" t="s">
        <v>834</v>
      </c>
      <c r="O69" s="171" t="s">
        <v>1350</v>
      </c>
      <c r="P69" s="385" t="s">
        <v>834</v>
      </c>
      <c r="Q69" s="427"/>
      <c r="R69" s="374" t="s">
        <v>834</v>
      </c>
      <c r="S69" s="444"/>
      <c r="T69" s="469">
        <v>10</v>
      </c>
      <c r="U69" s="490"/>
      <c r="V69" s="441" t="s">
        <v>834</v>
      </c>
      <c r="W69" s="377" t="s">
        <v>992</v>
      </c>
      <c r="X69" s="373" t="s">
        <v>834</v>
      </c>
      <c r="Y69" s="168" t="s">
        <v>1351</v>
      </c>
      <c r="Z69" s="165">
        <v>5.8849999999999998</v>
      </c>
      <c r="AA69" s="168" t="s">
        <v>1352</v>
      </c>
      <c r="AB69" s="167" t="s">
        <v>834</v>
      </c>
      <c r="AC69" s="168"/>
      <c r="AD69" s="430" t="s">
        <v>834</v>
      </c>
      <c r="AE69" s="168"/>
      <c r="AF69" s="173">
        <v>7</v>
      </c>
      <c r="AG69" s="171" t="s">
        <v>546</v>
      </c>
      <c r="AH69" s="373">
        <v>6</v>
      </c>
      <c r="AI69" s="168"/>
      <c r="AJ69" s="373" t="s">
        <v>834</v>
      </c>
      <c r="AK69" s="431"/>
      <c r="AL69" s="167" t="s">
        <v>834</v>
      </c>
      <c r="AM69" s="168" t="s">
        <v>1353</v>
      </c>
      <c r="AN69" s="173" t="s">
        <v>834</v>
      </c>
      <c r="AO69" s="171" t="s">
        <v>1354</v>
      </c>
      <c r="AP69" s="432" t="s">
        <v>834</v>
      </c>
      <c r="AQ69" s="168"/>
      <c r="AR69" s="173" t="s">
        <v>834</v>
      </c>
      <c r="AS69" s="171"/>
      <c r="AT69" s="173" t="s">
        <v>834</v>
      </c>
      <c r="AU69" s="171"/>
      <c r="AV69" s="381" t="s">
        <v>834</v>
      </c>
      <c r="AW69" s="168"/>
      <c r="AX69" s="443" t="s">
        <v>834</v>
      </c>
      <c r="AY69" s="427"/>
      <c r="AZ69" s="167" t="s">
        <v>834</v>
      </c>
      <c r="BA69" s="427"/>
      <c r="BB69" s="164" t="s">
        <v>834</v>
      </c>
      <c r="BC69" s="168"/>
      <c r="BD69" s="459">
        <f t="shared" ref="BD69:BD70" si="8">0.1%+0.39%</f>
        <v>4.8999999999999998E-3</v>
      </c>
      <c r="BE69" s="427" t="s">
        <v>1208</v>
      </c>
      <c r="BF69" s="384">
        <v>5.5</v>
      </c>
      <c r="BG69" s="168"/>
      <c r="BH69" s="432" t="s">
        <v>834</v>
      </c>
      <c r="BI69" s="168" t="s">
        <v>1238</v>
      </c>
      <c r="BJ69" s="167" t="s">
        <v>546</v>
      </c>
      <c r="BK69" s="167"/>
      <c r="BL69" s="167" t="s">
        <v>834</v>
      </c>
      <c r="BM69" s="168"/>
      <c r="BN69" s="173">
        <v>5.125</v>
      </c>
      <c r="BO69" s="171"/>
      <c r="BP69" s="435" t="s">
        <v>834</v>
      </c>
      <c r="BQ69" s="436" t="s">
        <v>1355</v>
      </c>
      <c r="BR69" s="167" t="s">
        <v>834</v>
      </c>
      <c r="BS69" s="168" t="s">
        <v>1356</v>
      </c>
      <c r="BT69" s="167" t="s">
        <v>834</v>
      </c>
      <c r="BU69" s="168"/>
      <c r="BV69" s="167" t="s">
        <v>834</v>
      </c>
      <c r="BW69" s="168"/>
      <c r="BX69" s="437" t="s">
        <v>834</v>
      </c>
      <c r="BY69" s="171"/>
      <c r="BZ69" s="432"/>
      <c r="CA69" s="168"/>
      <c r="CB69" s="167" t="s">
        <v>834</v>
      </c>
      <c r="CC69" s="168"/>
      <c r="CD69" s="173" t="s">
        <v>834</v>
      </c>
      <c r="CE69" s="171" t="s">
        <v>1357</v>
      </c>
      <c r="CF69" s="167" t="s">
        <v>834</v>
      </c>
      <c r="CG69" s="175" t="s">
        <v>1358</v>
      </c>
      <c r="CH69" s="167" t="s">
        <v>834</v>
      </c>
      <c r="CI69" s="168" t="s">
        <v>1359</v>
      </c>
      <c r="CJ69" s="167">
        <v>7</v>
      </c>
      <c r="CK69" s="168" t="s">
        <v>1360</v>
      </c>
      <c r="CL69" s="385" t="s">
        <v>834</v>
      </c>
      <c r="CM69" s="168"/>
      <c r="CN69" s="385" t="s">
        <v>834</v>
      </c>
      <c r="CO69" s="168" t="s">
        <v>1245</v>
      </c>
      <c r="CP69" s="167" t="s">
        <v>834</v>
      </c>
      <c r="CQ69" s="168"/>
      <c r="CR69" s="373" t="s">
        <v>834</v>
      </c>
      <c r="CS69" s="427"/>
      <c r="CT69" s="164">
        <v>5.0289999999999999</v>
      </c>
      <c r="CU69" s="168" t="s">
        <v>1361</v>
      </c>
      <c r="CV69" s="432">
        <v>4.4000000000000004</v>
      </c>
      <c r="CW69" s="168" t="s">
        <v>1247</v>
      </c>
      <c r="CX69" s="168" t="s">
        <v>834</v>
      </c>
      <c r="CY69" s="168"/>
      <c r="CZ69" s="173" t="s">
        <v>834</v>
      </c>
      <c r="DA69" s="171" t="s">
        <v>1248</v>
      </c>
      <c r="DB69" s="371" t="s">
        <v>546</v>
      </c>
      <c r="DC69" s="371">
        <f t="shared" si="7"/>
        <v>13</v>
      </c>
      <c r="DD69" s="371"/>
      <c r="DE69" s="371"/>
      <c r="DF69" s="371"/>
      <c r="DG69" s="371"/>
      <c r="DH69" s="371"/>
      <c r="DI69" s="371"/>
      <c r="DJ69" s="371"/>
      <c r="DK69" s="371"/>
      <c r="DL69" s="371"/>
      <c r="DM69" s="371"/>
      <c r="DN69" s="371"/>
      <c r="DO69" s="371"/>
      <c r="DP69" s="371"/>
      <c r="DQ69" s="371"/>
      <c r="DR69" s="371"/>
    </row>
    <row r="70" spans="1:122" ht="18.75" x14ac:dyDescent="0.3">
      <c r="A70" s="325">
        <v>22121</v>
      </c>
      <c r="B70" s="326">
        <v>42</v>
      </c>
      <c r="C70" s="327" t="s">
        <v>1249</v>
      </c>
      <c r="D70" s="424">
        <v>4</v>
      </c>
      <c r="E70" s="328" t="s">
        <v>1329</v>
      </c>
      <c r="F70" s="173" t="s">
        <v>546</v>
      </c>
      <c r="G70" s="173"/>
      <c r="H70" s="373">
        <v>6.5</v>
      </c>
      <c r="I70" s="427"/>
      <c r="J70" s="173">
        <v>5.6</v>
      </c>
      <c r="K70" s="371" t="s">
        <v>1189</v>
      </c>
      <c r="L70" s="426" t="s">
        <v>834</v>
      </c>
      <c r="M70" s="427" t="s">
        <v>1307</v>
      </c>
      <c r="N70" s="173" t="s">
        <v>834</v>
      </c>
      <c r="O70" s="171" t="s">
        <v>1331</v>
      </c>
      <c r="P70" s="385" t="s">
        <v>834</v>
      </c>
      <c r="Q70" s="427"/>
      <c r="R70" s="374" t="s">
        <v>834</v>
      </c>
      <c r="S70" s="444"/>
      <c r="T70" s="428">
        <v>10</v>
      </c>
      <c r="U70" s="376" t="s">
        <v>1362</v>
      </c>
      <c r="V70" s="441" t="s">
        <v>834</v>
      </c>
      <c r="W70" s="377" t="s">
        <v>1333</v>
      </c>
      <c r="X70" s="167">
        <v>4</v>
      </c>
      <c r="Y70" s="168"/>
      <c r="Z70" s="165">
        <v>5.8849999999999998</v>
      </c>
      <c r="AA70" s="168" t="s">
        <v>1334</v>
      </c>
      <c r="AB70" s="167" t="s">
        <v>834</v>
      </c>
      <c r="AC70" s="168"/>
      <c r="AD70" s="430">
        <v>5</v>
      </c>
      <c r="AE70" s="168"/>
      <c r="AF70" s="173">
        <v>7</v>
      </c>
      <c r="AG70" s="171" t="s">
        <v>546</v>
      </c>
      <c r="AH70" s="489" t="s">
        <v>834</v>
      </c>
      <c r="AI70" s="453"/>
      <c r="AJ70" s="373" t="s">
        <v>834</v>
      </c>
      <c r="AK70" s="431" t="s">
        <v>1335</v>
      </c>
      <c r="AL70" s="167" t="s">
        <v>834</v>
      </c>
      <c r="AM70" s="168" t="s">
        <v>1353</v>
      </c>
      <c r="AN70" s="173" t="s">
        <v>834</v>
      </c>
      <c r="AO70" s="171" t="s">
        <v>1363</v>
      </c>
      <c r="AP70" s="432" t="s">
        <v>834</v>
      </c>
      <c r="AQ70" s="168"/>
      <c r="AR70" s="173" t="s">
        <v>834</v>
      </c>
      <c r="AS70" s="171"/>
      <c r="AT70" s="173" t="s">
        <v>834</v>
      </c>
      <c r="AU70" s="171"/>
      <c r="AV70" s="381">
        <v>4</v>
      </c>
      <c r="AW70" s="168" t="s">
        <v>1339</v>
      </c>
      <c r="AX70" s="443">
        <v>6.875</v>
      </c>
      <c r="AY70" s="427" t="s">
        <v>1340</v>
      </c>
      <c r="AZ70" s="167" t="s">
        <v>834</v>
      </c>
      <c r="BA70" s="427"/>
      <c r="BB70" s="164" t="s">
        <v>834</v>
      </c>
      <c r="BC70" s="168"/>
      <c r="BD70" s="459">
        <f t="shared" si="8"/>
        <v>4.8999999999999998E-3</v>
      </c>
      <c r="BE70" s="427" t="s">
        <v>1364</v>
      </c>
      <c r="BF70" s="384">
        <v>5.5</v>
      </c>
      <c r="BG70" s="168"/>
      <c r="BH70" s="432" t="s">
        <v>834</v>
      </c>
      <c r="BI70" s="168"/>
      <c r="BJ70" s="171"/>
      <c r="BK70" s="168"/>
      <c r="BL70" s="167">
        <v>6.875</v>
      </c>
      <c r="BM70" s="483"/>
      <c r="BN70" s="173">
        <v>5.125</v>
      </c>
      <c r="BO70" s="171"/>
      <c r="BP70" s="435" t="s">
        <v>834</v>
      </c>
      <c r="BQ70" s="436" t="s">
        <v>1342</v>
      </c>
      <c r="BR70" s="167">
        <v>7</v>
      </c>
      <c r="BS70" s="168"/>
      <c r="BT70" s="167" t="s">
        <v>834</v>
      </c>
      <c r="BU70" s="168"/>
      <c r="BV70" s="167" t="s">
        <v>834</v>
      </c>
      <c r="BW70" s="168" t="s">
        <v>1263</v>
      </c>
      <c r="BX70" s="437" t="s">
        <v>834</v>
      </c>
      <c r="BY70" s="171" t="s">
        <v>1365</v>
      </c>
      <c r="BZ70" s="432" t="s">
        <v>546</v>
      </c>
      <c r="CA70" s="168"/>
      <c r="CB70" s="167" t="s">
        <v>834</v>
      </c>
      <c r="CC70" s="168"/>
      <c r="CD70" s="173">
        <v>3</v>
      </c>
      <c r="CE70" s="171" t="s">
        <v>1366</v>
      </c>
      <c r="CF70" s="167" t="s">
        <v>834</v>
      </c>
      <c r="CG70" s="175" t="s">
        <v>1367</v>
      </c>
      <c r="CH70" s="167">
        <v>4.5</v>
      </c>
      <c r="CI70" s="168"/>
      <c r="CJ70" s="167" t="s">
        <v>834</v>
      </c>
      <c r="CK70" s="168"/>
      <c r="CL70" s="385" t="s">
        <v>834</v>
      </c>
      <c r="CM70" s="168" t="s">
        <v>1346</v>
      </c>
      <c r="CN70" s="435">
        <v>2</v>
      </c>
      <c r="CO70" s="168" t="s">
        <v>1221</v>
      </c>
      <c r="CP70" s="167" t="s">
        <v>834</v>
      </c>
      <c r="CQ70" s="168" t="s">
        <v>1347</v>
      </c>
      <c r="CR70" s="373" t="s">
        <v>834</v>
      </c>
      <c r="CS70" s="427" t="s">
        <v>1368</v>
      </c>
      <c r="CT70" s="164">
        <v>3.8519999999999999</v>
      </c>
      <c r="CU70" s="168" t="s">
        <v>1361</v>
      </c>
      <c r="CV70" s="432">
        <v>4.29</v>
      </c>
      <c r="CW70" s="168" t="s">
        <v>1247</v>
      </c>
      <c r="CX70" s="168">
        <v>5</v>
      </c>
      <c r="CY70" s="168" t="s">
        <v>1348</v>
      </c>
      <c r="CZ70" s="173">
        <v>4</v>
      </c>
      <c r="DA70" s="171" t="s">
        <v>1349</v>
      </c>
      <c r="DB70" s="371" t="s">
        <v>546</v>
      </c>
      <c r="DC70" s="371">
        <f t="shared" si="7"/>
        <v>22</v>
      </c>
      <c r="DD70" s="371"/>
      <c r="DE70" s="371"/>
      <c r="DF70" s="371"/>
      <c r="DG70" s="371"/>
      <c r="DH70" s="371"/>
      <c r="DI70" s="371"/>
      <c r="DJ70" s="371"/>
      <c r="DK70" s="371"/>
      <c r="DL70" s="371"/>
      <c r="DM70" s="371"/>
      <c r="DN70" s="371"/>
      <c r="DO70" s="371"/>
      <c r="DP70" s="371"/>
      <c r="DQ70" s="371"/>
      <c r="DR70" s="371"/>
    </row>
    <row r="71" spans="1:122" ht="18.75" x14ac:dyDescent="0.3">
      <c r="A71" s="325">
        <v>484240</v>
      </c>
      <c r="B71" s="326">
        <v>43</v>
      </c>
      <c r="C71" s="327" t="s">
        <v>1269</v>
      </c>
      <c r="D71" s="424">
        <v>4</v>
      </c>
      <c r="E71" s="328"/>
      <c r="F71" s="173" t="s">
        <v>546</v>
      </c>
      <c r="G71" s="173"/>
      <c r="H71" s="373">
        <v>6.5</v>
      </c>
      <c r="I71" s="427"/>
      <c r="J71" s="173">
        <v>5.6</v>
      </c>
      <c r="K71" s="371" t="s">
        <v>1369</v>
      </c>
      <c r="L71" s="426">
        <v>7.25</v>
      </c>
      <c r="M71" s="427" t="s">
        <v>1370</v>
      </c>
      <c r="N71" s="173" t="s">
        <v>834</v>
      </c>
      <c r="O71" s="171" t="s">
        <v>1331</v>
      </c>
      <c r="P71" s="385" t="s">
        <v>834</v>
      </c>
      <c r="Q71" s="427"/>
      <c r="R71" s="374">
        <v>0.39800000000000002</v>
      </c>
      <c r="S71" s="168" t="s">
        <v>837</v>
      </c>
      <c r="T71" s="428">
        <v>10</v>
      </c>
      <c r="U71" s="376" t="s">
        <v>1371</v>
      </c>
      <c r="V71" s="441" t="s">
        <v>834</v>
      </c>
      <c r="W71" s="377" t="s">
        <v>1333</v>
      </c>
      <c r="X71" s="167">
        <v>4</v>
      </c>
      <c r="Y71" s="168"/>
      <c r="Z71" s="165">
        <v>5.8849999999999998</v>
      </c>
      <c r="AA71" s="168" t="s">
        <v>1372</v>
      </c>
      <c r="AB71" s="167" t="s">
        <v>834</v>
      </c>
      <c r="AC71" s="168"/>
      <c r="AD71" s="430">
        <v>6.25</v>
      </c>
      <c r="AE71" s="168"/>
      <c r="AF71" s="173">
        <v>7</v>
      </c>
      <c r="AG71" s="171" t="s">
        <v>546</v>
      </c>
      <c r="AH71" s="489" t="s">
        <v>834</v>
      </c>
      <c r="AI71" s="453"/>
      <c r="AJ71" s="373" t="s">
        <v>834</v>
      </c>
      <c r="AK71" s="431" t="s">
        <v>1335</v>
      </c>
      <c r="AL71" s="167" t="s">
        <v>834</v>
      </c>
      <c r="AM71" s="168" t="s">
        <v>1373</v>
      </c>
      <c r="AN71" s="173" t="s">
        <v>834</v>
      </c>
      <c r="AO71" s="171" t="s">
        <v>1374</v>
      </c>
      <c r="AP71" s="432" t="s">
        <v>834</v>
      </c>
      <c r="AQ71" s="168"/>
      <c r="AR71" s="173" t="s">
        <v>834</v>
      </c>
      <c r="AS71" s="171"/>
      <c r="AT71" s="173" t="s">
        <v>834</v>
      </c>
      <c r="AU71" s="171"/>
      <c r="AV71" s="381">
        <v>4</v>
      </c>
      <c r="AW71" s="168" t="s">
        <v>1339</v>
      </c>
      <c r="AX71" s="443">
        <v>6.875</v>
      </c>
      <c r="AY71" s="427" t="s">
        <v>1375</v>
      </c>
      <c r="AZ71" s="167" t="s">
        <v>834</v>
      </c>
      <c r="BA71" s="427"/>
      <c r="BB71" s="164" t="s">
        <v>834</v>
      </c>
      <c r="BC71" s="168"/>
      <c r="BD71" s="479" t="s">
        <v>834</v>
      </c>
      <c r="BE71" s="427"/>
      <c r="BF71" s="384">
        <v>5.5</v>
      </c>
      <c r="BG71" s="168"/>
      <c r="BH71" s="432" t="s">
        <v>834</v>
      </c>
      <c r="BI71" s="168" t="s">
        <v>1238</v>
      </c>
      <c r="BJ71" s="167" t="s">
        <v>546</v>
      </c>
      <c r="BK71" s="167"/>
      <c r="BL71" s="167" t="s">
        <v>834</v>
      </c>
      <c r="BM71" s="168"/>
      <c r="BN71" s="173">
        <v>5.125</v>
      </c>
      <c r="BO71" s="171"/>
      <c r="BP71" s="435" t="s">
        <v>834</v>
      </c>
      <c r="BQ71" s="436" t="s">
        <v>1342</v>
      </c>
      <c r="BR71" s="167">
        <v>4.75</v>
      </c>
      <c r="BS71" s="168"/>
      <c r="BT71" s="167" t="s">
        <v>834</v>
      </c>
      <c r="BU71" s="168"/>
      <c r="BV71" s="429">
        <v>5.75</v>
      </c>
      <c r="BW71" s="168"/>
      <c r="BX71" s="437" t="s">
        <v>834</v>
      </c>
      <c r="BY71" s="171" t="s">
        <v>1376</v>
      </c>
      <c r="BZ71" s="432" t="s">
        <v>546</v>
      </c>
      <c r="CA71" s="168"/>
      <c r="CB71" s="167" t="s">
        <v>834</v>
      </c>
      <c r="CC71" s="168"/>
      <c r="CD71" s="173" t="s">
        <v>834</v>
      </c>
      <c r="CE71" s="171" t="s">
        <v>1357</v>
      </c>
      <c r="CF71" s="167" t="s">
        <v>834</v>
      </c>
      <c r="CG71" s="175" t="s">
        <v>1367</v>
      </c>
      <c r="CH71" s="167">
        <v>4.5</v>
      </c>
      <c r="CI71" s="168" t="s">
        <v>1377</v>
      </c>
      <c r="CJ71" s="167" t="s">
        <v>834</v>
      </c>
      <c r="CK71" s="168"/>
      <c r="CL71" s="385">
        <v>6.25</v>
      </c>
      <c r="CM71" s="168" t="s">
        <v>1378</v>
      </c>
      <c r="CN71" s="435">
        <v>2</v>
      </c>
      <c r="CO71" s="168"/>
      <c r="CP71" s="167" t="s">
        <v>834</v>
      </c>
      <c r="CQ71" s="168" t="s">
        <v>1347</v>
      </c>
      <c r="CR71" s="373" t="s">
        <v>834</v>
      </c>
      <c r="CS71" s="427" t="s">
        <v>1379</v>
      </c>
      <c r="CT71" s="432">
        <v>6.5</v>
      </c>
      <c r="CU71" s="168" t="s">
        <v>938</v>
      </c>
      <c r="CV71" s="432">
        <v>5</v>
      </c>
      <c r="CW71" s="168" t="s">
        <v>1286</v>
      </c>
      <c r="CX71" s="168" t="s">
        <v>834</v>
      </c>
      <c r="CY71" s="168" t="s">
        <v>1380</v>
      </c>
      <c r="CZ71" s="173">
        <v>4</v>
      </c>
      <c r="DA71" s="171" t="s">
        <v>1381</v>
      </c>
      <c r="DB71" s="371" t="s">
        <v>546</v>
      </c>
      <c r="DC71" s="371">
        <f t="shared" si="7"/>
        <v>22</v>
      </c>
      <c r="DD71" s="371"/>
      <c r="DE71" s="371"/>
      <c r="DF71" s="371"/>
      <c r="DG71" s="371"/>
      <c r="DH71" s="371"/>
      <c r="DI71" s="371"/>
      <c r="DJ71" s="371"/>
      <c r="DK71" s="371"/>
      <c r="DL71" s="371"/>
      <c r="DM71" s="371"/>
      <c r="DN71" s="371"/>
      <c r="DO71" s="371"/>
      <c r="DP71" s="371"/>
      <c r="DQ71" s="371"/>
      <c r="DR71" s="371"/>
    </row>
    <row r="72" spans="1:122" ht="18.75" x14ac:dyDescent="0.3">
      <c r="A72" s="325">
        <v>22132</v>
      </c>
      <c r="B72" s="326">
        <v>44</v>
      </c>
      <c r="C72" s="327" t="s">
        <v>1382</v>
      </c>
      <c r="D72" s="424" t="s">
        <v>834</v>
      </c>
      <c r="E72" s="328"/>
      <c r="F72" s="173"/>
      <c r="G72" s="173"/>
      <c r="H72" s="373">
        <v>6.5</v>
      </c>
      <c r="I72" s="427" t="s">
        <v>1289</v>
      </c>
      <c r="J72" s="173" t="s">
        <v>834</v>
      </c>
      <c r="K72" s="371"/>
      <c r="L72" s="426" t="s">
        <v>834</v>
      </c>
      <c r="M72" s="427" t="s">
        <v>1307</v>
      </c>
      <c r="N72" s="173" t="s">
        <v>834</v>
      </c>
      <c r="O72" s="171"/>
      <c r="P72" s="385" t="s">
        <v>834</v>
      </c>
      <c r="Q72" s="427"/>
      <c r="R72" s="374">
        <v>0.39800000000000002</v>
      </c>
      <c r="S72" s="168" t="s">
        <v>837</v>
      </c>
      <c r="T72" s="428" t="s">
        <v>834</v>
      </c>
      <c r="U72" s="376" t="s">
        <v>1383</v>
      </c>
      <c r="V72" s="441" t="s">
        <v>834</v>
      </c>
      <c r="W72" s="377" t="s">
        <v>992</v>
      </c>
      <c r="X72" s="167" t="s">
        <v>834</v>
      </c>
      <c r="Y72" s="168" t="s">
        <v>856</v>
      </c>
      <c r="Z72" s="165">
        <v>5.8849999999999998</v>
      </c>
      <c r="AA72" s="168" t="s">
        <v>1334</v>
      </c>
      <c r="AB72" s="167" t="s">
        <v>834</v>
      </c>
      <c r="AC72" s="168"/>
      <c r="AD72" s="430" t="s">
        <v>834</v>
      </c>
      <c r="AE72" s="168"/>
      <c r="AF72" s="173" t="s">
        <v>834</v>
      </c>
      <c r="AG72" s="171"/>
      <c r="AH72" s="167" t="s">
        <v>834</v>
      </c>
      <c r="AI72" s="168"/>
      <c r="AJ72" s="373" t="s">
        <v>834</v>
      </c>
      <c r="AK72" s="431"/>
      <c r="AL72" s="167" t="s">
        <v>834</v>
      </c>
      <c r="AM72" s="478"/>
      <c r="AN72" s="173" t="s">
        <v>834</v>
      </c>
      <c r="AO72" s="171"/>
      <c r="AP72" s="432" t="s">
        <v>834</v>
      </c>
      <c r="AQ72" s="168"/>
      <c r="AR72" s="173" t="s">
        <v>834</v>
      </c>
      <c r="AS72" s="171"/>
      <c r="AT72" s="173" t="s">
        <v>834</v>
      </c>
      <c r="AU72" s="171"/>
      <c r="AV72" s="381" t="s">
        <v>834</v>
      </c>
      <c r="AW72" s="167"/>
      <c r="AX72" s="443" t="s">
        <v>995</v>
      </c>
      <c r="AY72" s="427" t="s">
        <v>1384</v>
      </c>
      <c r="AZ72" s="167" t="s">
        <v>834</v>
      </c>
      <c r="BA72" s="427"/>
      <c r="BB72" s="164" t="s">
        <v>834</v>
      </c>
      <c r="BC72" s="167"/>
      <c r="BD72" s="459">
        <f t="shared" ref="BD72" si="9">0.1%+0.39%</f>
        <v>4.8999999999999998E-3</v>
      </c>
      <c r="BE72" s="427" t="s">
        <v>1385</v>
      </c>
      <c r="BF72" s="384">
        <v>5.5</v>
      </c>
      <c r="BG72" s="168" t="s">
        <v>1296</v>
      </c>
      <c r="BH72" s="432" t="s">
        <v>834</v>
      </c>
      <c r="BI72" s="167"/>
      <c r="BJ72" s="167"/>
      <c r="BK72" s="167"/>
      <c r="BL72" s="373">
        <v>6.875</v>
      </c>
      <c r="BM72" s="168" t="s">
        <v>1297</v>
      </c>
      <c r="BN72" s="173">
        <v>5.125</v>
      </c>
      <c r="BO72" s="171" t="s">
        <v>1298</v>
      </c>
      <c r="BP72" s="466">
        <v>4</v>
      </c>
      <c r="BQ72" s="436" t="s">
        <v>546</v>
      </c>
      <c r="BR72" s="167" t="s">
        <v>834</v>
      </c>
      <c r="BS72" s="167"/>
      <c r="BT72" s="167" t="s">
        <v>834</v>
      </c>
      <c r="BU72" s="167"/>
      <c r="BV72" s="167" t="s">
        <v>834</v>
      </c>
      <c r="BW72" s="167"/>
      <c r="BX72" s="437" t="s">
        <v>834</v>
      </c>
      <c r="BY72" s="171"/>
      <c r="BZ72" s="432"/>
      <c r="CA72" s="168"/>
      <c r="CB72" s="167" t="s">
        <v>834</v>
      </c>
      <c r="CC72" s="167"/>
      <c r="CD72" s="173" t="s">
        <v>834</v>
      </c>
      <c r="CE72" s="171" t="s">
        <v>1357</v>
      </c>
      <c r="CF72" s="167" t="s">
        <v>834</v>
      </c>
      <c r="CG72" s="175"/>
      <c r="CH72" s="167">
        <v>4.5</v>
      </c>
      <c r="CI72" s="168" t="s">
        <v>1299</v>
      </c>
      <c r="CJ72" s="167" t="s">
        <v>834</v>
      </c>
      <c r="CK72" s="168"/>
      <c r="CL72" s="385">
        <v>6.25</v>
      </c>
      <c r="CM72" s="168" t="s">
        <v>1386</v>
      </c>
      <c r="CN72" s="385" t="s">
        <v>834</v>
      </c>
      <c r="CO72" s="167"/>
      <c r="CP72" s="167" t="s">
        <v>834</v>
      </c>
      <c r="CQ72" s="167"/>
      <c r="CR72" s="373" t="s">
        <v>834</v>
      </c>
      <c r="CS72" s="373"/>
      <c r="CT72" s="164">
        <v>3.8519999999999999</v>
      </c>
      <c r="CU72" s="168" t="s">
        <v>1301</v>
      </c>
      <c r="CV72" s="432" t="s">
        <v>834</v>
      </c>
      <c r="CW72" s="168" t="s">
        <v>1302</v>
      </c>
      <c r="CX72" s="168" t="s">
        <v>834</v>
      </c>
      <c r="CY72" s="168"/>
      <c r="CZ72" s="173" t="s">
        <v>834</v>
      </c>
      <c r="DA72" s="171" t="s">
        <v>1387</v>
      </c>
      <c r="DB72" s="371" t="s">
        <v>546</v>
      </c>
      <c r="DC72" s="371">
        <f t="shared" si="7"/>
        <v>11</v>
      </c>
      <c r="DD72" s="371"/>
      <c r="DE72" s="371"/>
      <c r="DF72" s="371"/>
      <c r="DG72" s="371"/>
      <c r="DH72" s="371"/>
      <c r="DI72" s="371"/>
      <c r="DJ72" s="371"/>
      <c r="DK72" s="371"/>
      <c r="DL72" s="371"/>
      <c r="DM72" s="371"/>
      <c r="DN72" s="371"/>
      <c r="DO72" s="371"/>
      <c r="DP72" s="371"/>
      <c r="DQ72" s="371"/>
      <c r="DR72" s="371"/>
    </row>
    <row r="73" spans="1:122" ht="18.75" x14ac:dyDescent="0.3">
      <c r="A73" s="325"/>
      <c r="B73" s="268"/>
      <c r="C73" s="268"/>
      <c r="D73" s="424"/>
      <c r="E73" s="446"/>
      <c r="F73" s="173"/>
      <c r="G73" s="171"/>
      <c r="H73" s="373"/>
      <c r="I73" s="175"/>
      <c r="J73" s="173"/>
      <c r="K73" s="371"/>
      <c r="L73" s="426"/>
      <c r="M73" s="175"/>
      <c r="N73" s="173"/>
      <c r="O73" s="171"/>
      <c r="P73" s="385"/>
      <c r="Q73" s="175"/>
      <c r="R73" s="374"/>
      <c r="S73" s="444"/>
      <c r="T73" s="428"/>
      <c r="U73" s="463"/>
      <c r="V73" s="429"/>
      <c r="W73" s="377"/>
      <c r="X73" s="167"/>
      <c r="Y73" s="444"/>
      <c r="Z73" s="167"/>
      <c r="AA73" s="444"/>
      <c r="AB73" s="167"/>
      <c r="AC73" s="444"/>
      <c r="AD73" s="430" t="s">
        <v>546</v>
      </c>
      <c r="AE73" s="447"/>
      <c r="AF73" s="173"/>
      <c r="AG73" s="171"/>
      <c r="AH73" s="167"/>
      <c r="AI73" s="444"/>
      <c r="AJ73" s="373"/>
      <c r="AK73" s="431"/>
      <c r="AL73" s="167"/>
      <c r="AM73" s="444"/>
      <c r="AN73" s="173"/>
      <c r="AO73" s="171"/>
      <c r="AP73" s="432"/>
      <c r="AQ73" s="444"/>
      <c r="AR73" s="173"/>
      <c r="AS73" s="171"/>
      <c r="AT73" s="173"/>
      <c r="AU73" s="171"/>
      <c r="AV73" s="381"/>
      <c r="AW73" s="444"/>
      <c r="AX73" s="433"/>
      <c r="AY73" s="175"/>
      <c r="AZ73" s="167"/>
      <c r="BA73" s="427"/>
      <c r="BB73" s="164"/>
      <c r="BC73" s="444"/>
      <c r="BD73" s="479" t="s">
        <v>546</v>
      </c>
      <c r="BE73" s="427"/>
      <c r="BF73" s="384"/>
      <c r="BG73" s="168"/>
      <c r="BH73" s="432"/>
      <c r="BI73" s="444"/>
      <c r="BJ73" s="167"/>
      <c r="BK73" s="444"/>
      <c r="BL73" s="167"/>
      <c r="BM73" s="444"/>
      <c r="BN73" s="173"/>
      <c r="BO73" s="171"/>
      <c r="BP73" s="435"/>
      <c r="BQ73" s="436"/>
      <c r="BR73" s="167"/>
      <c r="BS73" s="444"/>
      <c r="BT73" s="167"/>
      <c r="BU73" s="444"/>
      <c r="BV73" s="167"/>
      <c r="BW73" s="444"/>
      <c r="BX73" s="437"/>
      <c r="BY73" s="171"/>
      <c r="BZ73" s="432"/>
      <c r="CA73" s="168"/>
      <c r="CB73" s="167"/>
      <c r="CC73" s="444"/>
      <c r="CD73" s="173"/>
      <c r="CE73" s="171"/>
      <c r="CF73" s="167"/>
      <c r="CG73" s="175"/>
      <c r="CH73" s="167"/>
      <c r="CI73" s="168"/>
      <c r="CJ73" s="167"/>
      <c r="CK73" s="444"/>
      <c r="CL73" s="385"/>
      <c r="CM73" s="444"/>
      <c r="CN73" s="385"/>
      <c r="CO73" s="167"/>
      <c r="CP73" s="167"/>
      <c r="CQ73" s="444"/>
      <c r="CR73" s="373"/>
      <c r="CS73" s="175"/>
      <c r="CT73" s="432"/>
      <c r="CU73" s="168"/>
      <c r="CV73" s="432"/>
      <c r="CW73" s="168"/>
      <c r="CX73" s="168"/>
      <c r="CY73" s="168"/>
      <c r="CZ73" s="173"/>
      <c r="DA73" s="171"/>
      <c r="DB73" s="371"/>
      <c r="DC73" s="371"/>
      <c r="DD73" s="371"/>
      <c r="DE73" s="371"/>
      <c r="DF73" s="371"/>
      <c r="DG73" s="371"/>
      <c r="DH73" s="371"/>
      <c r="DI73" s="371"/>
      <c r="DJ73" s="371"/>
      <c r="DK73" s="371"/>
      <c r="DL73" s="371"/>
      <c r="DM73" s="371"/>
      <c r="DN73" s="371"/>
      <c r="DO73" s="371"/>
      <c r="DP73" s="371"/>
      <c r="DQ73" s="371"/>
      <c r="DR73" s="371"/>
    </row>
    <row r="74" spans="1:122" ht="18.75" x14ac:dyDescent="0.3">
      <c r="A74" s="389"/>
      <c r="B74" s="390"/>
      <c r="C74" s="391" t="s">
        <v>1388</v>
      </c>
      <c r="D74" s="392" t="s">
        <v>832</v>
      </c>
      <c r="E74" s="393"/>
      <c r="F74" s="394" t="s">
        <v>832</v>
      </c>
      <c r="G74" s="394"/>
      <c r="H74" s="394" t="s">
        <v>832</v>
      </c>
      <c r="I74" s="401"/>
      <c r="J74" s="438" t="s">
        <v>832</v>
      </c>
      <c r="K74" s="397"/>
      <c r="L74" s="438" t="s">
        <v>832</v>
      </c>
      <c r="M74" s="401"/>
      <c r="N74" s="400" t="s">
        <v>832</v>
      </c>
      <c r="O74" s="172"/>
      <c r="P74" s="400" t="s">
        <v>832</v>
      </c>
      <c r="Q74" s="401"/>
      <c r="R74" s="400" t="s">
        <v>832</v>
      </c>
      <c r="S74" s="170"/>
      <c r="T74" s="400" t="s">
        <v>832</v>
      </c>
      <c r="U74" s="404"/>
      <c r="V74" s="400" t="s">
        <v>832</v>
      </c>
      <c r="W74" s="406"/>
      <c r="X74" s="400" t="s">
        <v>832</v>
      </c>
      <c r="Y74" s="170"/>
      <c r="Z74" s="400" t="s">
        <v>832</v>
      </c>
      <c r="AA74" s="170"/>
      <c r="AB74" s="400" t="s">
        <v>832</v>
      </c>
      <c r="AC74" s="170"/>
      <c r="AD74" s="408" t="s">
        <v>832</v>
      </c>
      <c r="AE74" s="170"/>
      <c r="AF74" s="408" t="s">
        <v>832</v>
      </c>
      <c r="AG74" s="172"/>
      <c r="AH74" s="408" t="s">
        <v>832</v>
      </c>
      <c r="AI74" s="170"/>
      <c r="AJ74" s="408" t="s">
        <v>832</v>
      </c>
      <c r="AK74" s="409"/>
      <c r="AL74" s="408" t="s">
        <v>832</v>
      </c>
      <c r="AM74" s="170"/>
      <c r="AN74" s="491" t="s">
        <v>832</v>
      </c>
      <c r="AO74" s="172"/>
      <c r="AP74" s="408" t="s">
        <v>832</v>
      </c>
      <c r="AQ74" s="170"/>
      <c r="AR74" s="438" t="s">
        <v>832</v>
      </c>
      <c r="AS74" s="172"/>
      <c r="AT74" s="438" t="s">
        <v>832</v>
      </c>
      <c r="AU74" s="172"/>
      <c r="AV74" s="408" t="s">
        <v>832</v>
      </c>
      <c r="AW74" s="170"/>
      <c r="AX74" s="408" t="s">
        <v>832</v>
      </c>
      <c r="AY74" s="401"/>
      <c r="AZ74" s="407" t="s">
        <v>832</v>
      </c>
      <c r="BA74" s="401"/>
      <c r="BB74" s="408" t="s">
        <v>832</v>
      </c>
      <c r="BC74" s="170"/>
      <c r="BD74" s="407" t="s">
        <v>832</v>
      </c>
      <c r="BE74" s="401"/>
      <c r="BF74" s="407" t="s">
        <v>832</v>
      </c>
      <c r="BG74" s="170"/>
      <c r="BH74" s="408" t="s">
        <v>832</v>
      </c>
      <c r="BI74" s="170"/>
      <c r="BJ74" s="407" t="s">
        <v>832</v>
      </c>
      <c r="BK74" s="407"/>
      <c r="BL74" s="408" t="s">
        <v>832</v>
      </c>
      <c r="BM74" s="170"/>
      <c r="BN74" s="438" t="s">
        <v>832</v>
      </c>
      <c r="BO74" s="172"/>
      <c r="BP74" s="408" t="s">
        <v>832</v>
      </c>
      <c r="BQ74" s="419"/>
      <c r="BR74" s="407" t="s">
        <v>832</v>
      </c>
      <c r="BS74" s="170"/>
      <c r="BT74" s="408" t="s">
        <v>832</v>
      </c>
      <c r="BU74" s="170"/>
      <c r="BV74" s="407" t="s">
        <v>832</v>
      </c>
      <c r="BW74" s="170"/>
      <c r="BX74" s="438" t="s">
        <v>832</v>
      </c>
      <c r="BY74" s="172"/>
      <c r="BZ74" s="408" t="s">
        <v>832</v>
      </c>
      <c r="CA74" s="170"/>
      <c r="CB74" s="408" t="s">
        <v>832</v>
      </c>
      <c r="CC74" s="170"/>
      <c r="CD74" s="407" t="s">
        <v>832</v>
      </c>
      <c r="CE74" s="172"/>
      <c r="CF74" s="408" t="s">
        <v>832</v>
      </c>
      <c r="CG74" s="399"/>
      <c r="CH74" s="408" t="s">
        <v>832</v>
      </c>
      <c r="CI74" s="170"/>
      <c r="CJ74" s="408" t="s">
        <v>832</v>
      </c>
      <c r="CK74" s="170"/>
      <c r="CL74" s="408" t="s">
        <v>832</v>
      </c>
      <c r="CM74" s="170"/>
      <c r="CN74" s="407" t="s">
        <v>832</v>
      </c>
      <c r="CO74" s="170"/>
      <c r="CP74" s="408" t="s">
        <v>832</v>
      </c>
      <c r="CQ74" s="170"/>
      <c r="CR74" s="408" t="s">
        <v>832</v>
      </c>
      <c r="CS74" s="401"/>
      <c r="CT74" s="408" t="s">
        <v>832</v>
      </c>
      <c r="CU74" s="170"/>
      <c r="CV74" s="408" t="s">
        <v>832</v>
      </c>
      <c r="CW74" s="170"/>
      <c r="CX74" s="408" t="s">
        <v>832</v>
      </c>
      <c r="CY74" s="170"/>
      <c r="CZ74" s="408" t="s">
        <v>832</v>
      </c>
      <c r="DA74" s="172"/>
      <c r="DB74" s="397"/>
      <c r="DC74" s="397"/>
      <c r="DD74" s="397"/>
      <c r="DE74" s="397"/>
      <c r="DF74" s="397"/>
      <c r="DG74" s="397"/>
      <c r="DH74" s="397"/>
      <c r="DI74" s="397"/>
      <c r="DJ74" s="397"/>
      <c r="DK74" s="397"/>
      <c r="DL74" s="397"/>
      <c r="DM74" s="397"/>
      <c r="DN74" s="397"/>
      <c r="DO74" s="397"/>
      <c r="DP74" s="397"/>
      <c r="DQ74" s="397"/>
      <c r="DR74" s="397"/>
    </row>
    <row r="75" spans="1:122" ht="18.75" x14ac:dyDescent="0.3">
      <c r="A75" s="325">
        <v>5221</v>
      </c>
      <c r="B75" s="326">
        <v>45</v>
      </c>
      <c r="C75" s="327" t="s">
        <v>1389</v>
      </c>
      <c r="D75" s="424" t="s">
        <v>834</v>
      </c>
      <c r="E75" s="328"/>
      <c r="F75" s="173"/>
      <c r="G75" s="173"/>
      <c r="H75" s="373" t="s">
        <v>834</v>
      </c>
      <c r="I75" s="427"/>
      <c r="J75" s="173" t="s">
        <v>834</v>
      </c>
      <c r="K75" s="371"/>
      <c r="L75" s="426" t="s">
        <v>834</v>
      </c>
      <c r="M75" s="427"/>
      <c r="N75" s="173" t="s">
        <v>834</v>
      </c>
      <c r="O75" s="171"/>
      <c r="P75" s="385" t="s">
        <v>834</v>
      </c>
      <c r="Q75" s="427"/>
      <c r="R75" s="457" t="s">
        <v>834</v>
      </c>
      <c r="S75" s="168"/>
      <c r="T75" s="428" t="s">
        <v>834</v>
      </c>
      <c r="U75" s="376"/>
      <c r="V75" s="429" t="s">
        <v>834</v>
      </c>
      <c r="W75" s="377" t="s">
        <v>992</v>
      </c>
      <c r="X75" s="167" t="s">
        <v>834</v>
      </c>
      <c r="Y75" s="168" t="s">
        <v>546</v>
      </c>
      <c r="Z75" s="373" t="s">
        <v>834</v>
      </c>
      <c r="AA75" s="168" t="s">
        <v>1390</v>
      </c>
      <c r="AB75" s="167" t="s">
        <v>834</v>
      </c>
      <c r="AC75" s="168"/>
      <c r="AD75" s="430" t="s">
        <v>834</v>
      </c>
      <c r="AE75" s="168"/>
      <c r="AF75" s="173" t="s">
        <v>834</v>
      </c>
      <c r="AG75" s="171"/>
      <c r="AH75" s="167">
        <v>6</v>
      </c>
      <c r="AI75" s="168" t="s">
        <v>1391</v>
      </c>
      <c r="AJ75" s="373" t="s">
        <v>834</v>
      </c>
      <c r="AK75" s="431"/>
      <c r="AL75" s="167" t="s">
        <v>834</v>
      </c>
      <c r="AM75" s="168"/>
      <c r="AN75" s="173" t="s">
        <v>834</v>
      </c>
      <c r="AO75" s="171"/>
      <c r="AP75" s="432" t="s">
        <v>834</v>
      </c>
      <c r="AQ75" s="168"/>
      <c r="AR75" s="173" t="s">
        <v>834</v>
      </c>
      <c r="AS75" s="171"/>
      <c r="AT75" s="173" t="s">
        <v>834</v>
      </c>
      <c r="AU75" s="171"/>
      <c r="AV75" s="381" t="s">
        <v>834</v>
      </c>
      <c r="AW75" s="167"/>
      <c r="AX75" s="433" t="s">
        <v>834</v>
      </c>
      <c r="AY75" s="427"/>
      <c r="AZ75" s="167" t="s">
        <v>834</v>
      </c>
      <c r="BA75" s="427"/>
      <c r="BB75" s="164" t="s">
        <v>834</v>
      </c>
      <c r="BC75" s="167"/>
      <c r="BD75" s="479"/>
      <c r="BE75" s="427"/>
      <c r="BF75" s="384" t="s">
        <v>834</v>
      </c>
      <c r="BG75" s="168"/>
      <c r="BH75" s="432" t="s">
        <v>834</v>
      </c>
      <c r="BI75" s="167"/>
      <c r="BJ75" s="167"/>
      <c r="BK75" s="167"/>
      <c r="BL75" s="167" t="s">
        <v>834</v>
      </c>
      <c r="BM75" s="167"/>
      <c r="BN75" s="173">
        <v>5.125</v>
      </c>
      <c r="BO75" s="171"/>
      <c r="BP75" s="435" t="s">
        <v>834</v>
      </c>
      <c r="BQ75" s="436"/>
      <c r="BR75" s="167" t="s">
        <v>834</v>
      </c>
      <c r="BS75" s="167"/>
      <c r="BT75" s="167" t="s">
        <v>834</v>
      </c>
      <c r="BU75" s="167"/>
      <c r="BV75" s="167" t="s">
        <v>834</v>
      </c>
      <c r="BW75" s="167"/>
      <c r="BX75" s="437" t="s">
        <v>834</v>
      </c>
      <c r="BY75" s="171"/>
      <c r="BZ75" s="432"/>
      <c r="CA75" s="168"/>
      <c r="CB75" s="167" t="s">
        <v>834</v>
      </c>
      <c r="CC75" s="167"/>
      <c r="CD75" s="173" t="s">
        <v>834</v>
      </c>
      <c r="CE75" s="171"/>
      <c r="CF75" s="167" t="s">
        <v>834</v>
      </c>
      <c r="CG75" s="175"/>
      <c r="CH75" s="373" t="s">
        <v>834</v>
      </c>
      <c r="CI75" s="168" t="s">
        <v>1392</v>
      </c>
      <c r="CJ75" s="167" t="s">
        <v>834</v>
      </c>
      <c r="CK75" s="168"/>
      <c r="CL75" s="385" t="s">
        <v>834</v>
      </c>
      <c r="CM75" s="461"/>
      <c r="CN75" s="385" t="s">
        <v>834</v>
      </c>
      <c r="CO75" s="167"/>
      <c r="CP75" s="167" t="s">
        <v>834</v>
      </c>
      <c r="CQ75" s="167"/>
      <c r="CR75" s="373" t="s">
        <v>834</v>
      </c>
      <c r="CS75" s="373"/>
      <c r="CT75" s="432">
        <v>1.5</v>
      </c>
      <c r="CU75" s="168" t="s">
        <v>840</v>
      </c>
      <c r="CV75" s="432" t="s">
        <v>834</v>
      </c>
      <c r="CW75" s="168" t="s">
        <v>1393</v>
      </c>
      <c r="CX75" s="168" t="s">
        <v>834</v>
      </c>
      <c r="CY75" s="168"/>
      <c r="CZ75" s="173" t="s">
        <v>834</v>
      </c>
      <c r="DA75" s="171" t="s">
        <v>1394</v>
      </c>
      <c r="DB75" s="371" t="s">
        <v>546</v>
      </c>
      <c r="DC75" s="371">
        <f t="shared" ref="DC75:DC82" si="10">COUNT(D75:CZ75)</f>
        <v>3</v>
      </c>
      <c r="DD75" s="371"/>
      <c r="DE75" s="371"/>
      <c r="DF75" s="371"/>
      <c r="DG75" s="371"/>
      <c r="DH75" s="371"/>
      <c r="DI75" s="371"/>
      <c r="DJ75" s="371"/>
      <c r="DK75" s="371"/>
      <c r="DL75" s="371"/>
      <c r="DM75" s="371"/>
      <c r="DN75" s="371"/>
      <c r="DO75" s="371"/>
      <c r="DP75" s="371"/>
      <c r="DQ75" s="371"/>
      <c r="DR75" s="371"/>
    </row>
    <row r="76" spans="1:122" ht="18.75" x14ac:dyDescent="0.3">
      <c r="A76" s="325">
        <v>524</v>
      </c>
      <c r="B76" s="326">
        <v>46</v>
      </c>
      <c r="C76" s="327" t="s">
        <v>1395</v>
      </c>
      <c r="D76" s="424" t="s">
        <v>834</v>
      </c>
      <c r="E76" s="328"/>
      <c r="F76" s="173"/>
      <c r="G76" s="173"/>
      <c r="H76" s="373" t="s">
        <v>834</v>
      </c>
      <c r="I76" s="427"/>
      <c r="J76" s="173" t="s">
        <v>834</v>
      </c>
      <c r="K76" s="371"/>
      <c r="L76" s="426" t="s">
        <v>834</v>
      </c>
      <c r="M76" s="427" t="s">
        <v>1396</v>
      </c>
      <c r="N76" s="173" t="s">
        <v>834</v>
      </c>
      <c r="O76" s="171"/>
      <c r="P76" s="385" t="s">
        <v>834</v>
      </c>
      <c r="Q76" s="427"/>
      <c r="R76" s="457" t="s">
        <v>834</v>
      </c>
      <c r="S76" s="168"/>
      <c r="T76" s="428" t="s">
        <v>834</v>
      </c>
      <c r="U76" s="376"/>
      <c r="V76" s="429" t="s">
        <v>834</v>
      </c>
      <c r="W76" s="377" t="s">
        <v>992</v>
      </c>
      <c r="X76" s="167" t="s">
        <v>834</v>
      </c>
      <c r="Y76" s="168" t="s">
        <v>856</v>
      </c>
      <c r="Z76" s="167">
        <v>4</v>
      </c>
      <c r="AA76" s="168" t="s">
        <v>1397</v>
      </c>
      <c r="AB76" s="167" t="s">
        <v>834</v>
      </c>
      <c r="AC76" s="168"/>
      <c r="AD76" s="430" t="s">
        <v>834</v>
      </c>
      <c r="AE76" s="168"/>
      <c r="AF76" s="173" t="s">
        <v>834</v>
      </c>
      <c r="AG76" s="171"/>
      <c r="AH76" s="167" t="s">
        <v>834</v>
      </c>
      <c r="AI76" s="168"/>
      <c r="AJ76" s="373" t="s">
        <v>834</v>
      </c>
      <c r="AK76" s="431"/>
      <c r="AL76" s="167" t="s">
        <v>834</v>
      </c>
      <c r="AM76" s="168"/>
      <c r="AN76" s="173" t="s">
        <v>834</v>
      </c>
      <c r="AO76" s="171"/>
      <c r="AP76" s="432" t="s">
        <v>834</v>
      </c>
      <c r="AQ76" s="168"/>
      <c r="AR76" s="173" t="s">
        <v>834</v>
      </c>
      <c r="AS76" s="171"/>
      <c r="AT76" s="173" t="s">
        <v>834</v>
      </c>
      <c r="AU76" s="171"/>
      <c r="AV76" s="381" t="s">
        <v>834</v>
      </c>
      <c r="AW76" s="167"/>
      <c r="AX76" s="433" t="s">
        <v>834</v>
      </c>
      <c r="AY76" s="427"/>
      <c r="AZ76" s="167" t="s">
        <v>834</v>
      </c>
      <c r="BA76" s="427"/>
      <c r="BB76" s="164" t="s">
        <v>834</v>
      </c>
      <c r="BC76" s="167"/>
      <c r="BD76" s="492">
        <v>2.75</v>
      </c>
      <c r="BE76" s="427" t="s">
        <v>1398</v>
      </c>
      <c r="BF76" s="384" t="s">
        <v>834</v>
      </c>
      <c r="BG76" s="168"/>
      <c r="BH76" s="432" t="s">
        <v>834</v>
      </c>
      <c r="BI76" s="167"/>
      <c r="BJ76" s="167"/>
      <c r="BK76" s="167"/>
      <c r="BL76" s="167">
        <v>6.875</v>
      </c>
      <c r="BM76" s="168" t="s">
        <v>1399</v>
      </c>
      <c r="BN76" s="173" t="s">
        <v>834</v>
      </c>
      <c r="BO76" s="171" t="s">
        <v>1400</v>
      </c>
      <c r="BP76" s="435" t="s">
        <v>834</v>
      </c>
      <c r="BQ76" s="436"/>
      <c r="BR76" s="167" t="s">
        <v>834</v>
      </c>
      <c r="BS76" s="167"/>
      <c r="BT76" s="167" t="s">
        <v>834</v>
      </c>
      <c r="BU76" s="167"/>
      <c r="BV76" s="167" t="s">
        <v>834</v>
      </c>
      <c r="BW76" s="167"/>
      <c r="BX76" s="437" t="s">
        <v>834</v>
      </c>
      <c r="BY76" s="171"/>
      <c r="BZ76" s="432"/>
      <c r="CA76" s="168"/>
      <c r="CB76" s="167" t="s">
        <v>834</v>
      </c>
      <c r="CC76" s="167"/>
      <c r="CD76" s="173" t="s">
        <v>834</v>
      </c>
      <c r="CE76" s="171"/>
      <c r="CF76" s="167" t="s">
        <v>834</v>
      </c>
      <c r="CG76" s="175"/>
      <c r="CH76" s="373">
        <v>4.5</v>
      </c>
      <c r="CI76" s="168" t="s">
        <v>1401</v>
      </c>
      <c r="CJ76" s="167" t="s">
        <v>834</v>
      </c>
      <c r="CK76" s="168"/>
      <c r="CL76" s="385">
        <v>6.25</v>
      </c>
      <c r="CM76" s="461" t="s">
        <v>1402</v>
      </c>
      <c r="CN76" s="385" t="s">
        <v>834</v>
      </c>
      <c r="CO76" s="167"/>
      <c r="CP76" s="167" t="s">
        <v>834</v>
      </c>
      <c r="CQ76" s="167"/>
      <c r="CR76" s="373" t="s">
        <v>834</v>
      </c>
      <c r="CS76" s="373"/>
      <c r="CT76" s="165">
        <v>0.48399999999999999</v>
      </c>
      <c r="CU76" s="168" t="s">
        <v>1403</v>
      </c>
      <c r="CV76" s="442">
        <v>3</v>
      </c>
      <c r="CW76" s="168" t="s">
        <v>1404</v>
      </c>
      <c r="CX76" s="168" t="s">
        <v>834</v>
      </c>
      <c r="CY76" s="168"/>
      <c r="CZ76" s="173" t="s">
        <v>834</v>
      </c>
      <c r="DA76" s="171" t="s">
        <v>1394</v>
      </c>
      <c r="DB76" s="371" t="s">
        <v>546</v>
      </c>
      <c r="DC76" s="371">
        <f t="shared" si="10"/>
        <v>7</v>
      </c>
      <c r="DD76" s="371"/>
      <c r="DE76" s="371"/>
      <c r="DF76" s="371"/>
      <c r="DG76" s="371"/>
      <c r="DH76" s="371"/>
      <c r="DI76" s="371"/>
      <c r="DJ76" s="371"/>
      <c r="DK76" s="371"/>
      <c r="DL76" s="371"/>
      <c r="DM76" s="371"/>
      <c r="DN76" s="371"/>
      <c r="DO76" s="371"/>
      <c r="DP76" s="371"/>
      <c r="DQ76" s="371"/>
      <c r="DR76" s="371"/>
    </row>
    <row r="77" spans="1:122" ht="18.75" x14ac:dyDescent="0.3">
      <c r="A77" s="325" t="s">
        <v>1405</v>
      </c>
      <c r="B77" s="326">
        <v>47</v>
      </c>
      <c r="C77" s="327" t="s">
        <v>1406</v>
      </c>
      <c r="D77" s="424" t="s">
        <v>834</v>
      </c>
      <c r="E77" s="328"/>
      <c r="F77" s="173"/>
      <c r="G77" s="173"/>
      <c r="H77" s="373" t="s">
        <v>834</v>
      </c>
      <c r="I77" s="427"/>
      <c r="J77" s="173" t="s">
        <v>834</v>
      </c>
      <c r="K77" s="371"/>
      <c r="L77" s="426" t="s">
        <v>834</v>
      </c>
      <c r="M77" s="427"/>
      <c r="N77" s="173" t="s">
        <v>834</v>
      </c>
      <c r="O77" s="171"/>
      <c r="P77" s="385" t="s">
        <v>834</v>
      </c>
      <c r="Q77" s="427"/>
      <c r="R77" s="457">
        <v>0.39800000000000002</v>
      </c>
      <c r="S77" s="168" t="s">
        <v>1407</v>
      </c>
      <c r="T77" s="428" t="s">
        <v>834</v>
      </c>
      <c r="U77" s="376"/>
      <c r="V77" s="429" t="s">
        <v>834</v>
      </c>
      <c r="W77" s="377" t="s">
        <v>992</v>
      </c>
      <c r="X77" s="167" t="s">
        <v>834</v>
      </c>
      <c r="Y77" s="168" t="s">
        <v>856</v>
      </c>
      <c r="Z77" s="167">
        <v>4</v>
      </c>
      <c r="AA77" s="168"/>
      <c r="AB77" s="167" t="s">
        <v>834</v>
      </c>
      <c r="AC77" s="168"/>
      <c r="AD77" s="430" t="s">
        <v>834</v>
      </c>
      <c r="AE77" s="168"/>
      <c r="AF77" s="173" t="s">
        <v>834</v>
      </c>
      <c r="AG77" s="171"/>
      <c r="AH77" s="167">
        <v>6</v>
      </c>
      <c r="AI77" s="168"/>
      <c r="AJ77" s="373" t="s">
        <v>834</v>
      </c>
      <c r="AK77" s="431"/>
      <c r="AL77" s="167" t="s">
        <v>834</v>
      </c>
      <c r="AM77" s="168"/>
      <c r="AN77" s="173" t="s">
        <v>834</v>
      </c>
      <c r="AO77" s="171"/>
      <c r="AP77" s="432" t="s">
        <v>834</v>
      </c>
      <c r="AQ77" s="168"/>
      <c r="AR77" s="173" t="s">
        <v>834</v>
      </c>
      <c r="AS77" s="171"/>
      <c r="AT77" s="173" t="s">
        <v>834</v>
      </c>
      <c r="AU77" s="171"/>
      <c r="AV77" s="381" t="s">
        <v>834</v>
      </c>
      <c r="AW77" s="168"/>
      <c r="AX77" s="433" t="s">
        <v>834</v>
      </c>
      <c r="AY77" s="427"/>
      <c r="AZ77" s="167" t="s">
        <v>834</v>
      </c>
      <c r="BA77" s="427"/>
      <c r="BB77" s="164" t="s">
        <v>834</v>
      </c>
      <c r="BC77" s="168"/>
      <c r="BD77" s="464"/>
      <c r="BE77" s="427"/>
      <c r="BF77" s="384" t="s">
        <v>834</v>
      </c>
      <c r="BG77" s="168"/>
      <c r="BH77" s="432" t="s">
        <v>834</v>
      </c>
      <c r="BI77" s="168"/>
      <c r="BJ77" s="167"/>
      <c r="BK77" s="167"/>
      <c r="BL77" s="167" t="s">
        <v>834</v>
      </c>
      <c r="BM77" s="168"/>
      <c r="BN77" s="173">
        <v>5.125</v>
      </c>
      <c r="BO77" s="171" t="s">
        <v>1408</v>
      </c>
      <c r="BP77" s="435" t="s">
        <v>834</v>
      </c>
      <c r="BQ77" s="436"/>
      <c r="BR77" s="167" t="s">
        <v>834</v>
      </c>
      <c r="BS77" s="168"/>
      <c r="BT77" s="167" t="s">
        <v>834</v>
      </c>
      <c r="BU77" s="168"/>
      <c r="BV77" s="167" t="s">
        <v>834</v>
      </c>
      <c r="BW77" s="168"/>
      <c r="BX77" s="437" t="s">
        <v>834</v>
      </c>
      <c r="BY77" s="171"/>
      <c r="BZ77" s="432"/>
      <c r="CA77" s="168"/>
      <c r="CB77" s="167" t="s">
        <v>834</v>
      </c>
      <c r="CC77" s="168"/>
      <c r="CD77" s="173" t="s">
        <v>834</v>
      </c>
      <c r="CE77" s="171"/>
      <c r="CF77" s="167" t="s">
        <v>834</v>
      </c>
      <c r="CG77" s="175"/>
      <c r="CH77" s="373">
        <v>4.5</v>
      </c>
      <c r="CI77" s="168"/>
      <c r="CJ77" s="167" t="s">
        <v>834</v>
      </c>
      <c r="CK77" s="168"/>
      <c r="CL77" s="385" t="s">
        <v>834</v>
      </c>
      <c r="CM77" s="168"/>
      <c r="CN77" s="385" t="s">
        <v>834</v>
      </c>
      <c r="CO77" s="168"/>
      <c r="CP77" s="167" t="s">
        <v>834</v>
      </c>
      <c r="CQ77" s="168"/>
      <c r="CR77" s="373" t="s">
        <v>834</v>
      </c>
      <c r="CS77" s="427"/>
      <c r="CT77" s="455">
        <v>1.5</v>
      </c>
      <c r="CU77" s="168" t="s">
        <v>840</v>
      </c>
      <c r="CV77" s="432" t="s">
        <v>834</v>
      </c>
      <c r="CW77" s="168" t="s">
        <v>1409</v>
      </c>
      <c r="CX77" s="168" t="s">
        <v>834</v>
      </c>
      <c r="CY77" s="168"/>
      <c r="CZ77" s="173" t="s">
        <v>834</v>
      </c>
      <c r="DA77" s="171" t="s">
        <v>1394</v>
      </c>
      <c r="DB77" s="371" t="s">
        <v>546</v>
      </c>
      <c r="DC77" s="371">
        <f t="shared" si="10"/>
        <v>6</v>
      </c>
      <c r="DD77" s="371"/>
      <c r="DE77" s="371"/>
      <c r="DF77" s="371"/>
      <c r="DG77" s="371"/>
      <c r="DH77" s="371"/>
      <c r="DI77" s="371"/>
      <c r="DJ77" s="371"/>
      <c r="DK77" s="371"/>
      <c r="DL77" s="371"/>
      <c r="DM77" s="371"/>
      <c r="DN77" s="371"/>
      <c r="DO77" s="371"/>
      <c r="DP77" s="371"/>
      <c r="DQ77" s="371"/>
      <c r="DR77" s="371"/>
    </row>
    <row r="78" spans="1:122" ht="18.75" x14ac:dyDescent="0.3">
      <c r="A78" s="325">
        <v>52312</v>
      </c>
      <c r="B78" s="326">
        <v>48</v>
      </c>
      <c r="C78" s="327" t="s">
        <v>1410</v>
      </c>
      <c r="D78" s="424" t="s">
        <v>834</v>
      </c>
      <c r="E78" s="328"/>
      <c r="F78" s="173"/>
      <c r="G78" s="173"/>
      <c r="H78" s="373" t="s">
        <v>834</v>
      </c>
      <c r="I78" s="427"/>
      <c r="J78" s="173" t="s">
        <v>834</v>
      </c>
      <c r="K78" s="371"/>
      <c r="L78" s="426" t="s">
        <v>834</v>
      </c>
      <c r="M78" s="427"/>
      <c r="N78" s="173" t="s">
        <v>834</v>
      </c>
      <c r="O78" s="171"/>
      <c r="P78" s="385" t="s">
        <v>834</v>
      </c>
      <c r="Q78" s="427"/>
      <c r="R78" s="457" t="s">
        <v>834</v>
      </c>
      <c r="S78" s="168" t="s">
        <v>1411</v>
      </c>
      <c r="T78" s="428" t="s">
        <v>834</v>
      </c>
      <c r="U78" s="376"/>
      <c r="V78" s="429" t="s">
        <v>834</v>
      </c>
      <c r="W78" s="377" t="s">
        <v>992</v>
      </c>
      <c r="X78" s="167" t="s">
        <v>834</v>
      </c>
      <c r="Y78" s="168" t="s">
        <v>546</v>
      </c>
      <c r="Z78" s="167">
        <v>4</v>
      </c>
      <c r="AA78" s="168"/>
      <c r="AB78" s="167" t="s">
        <v>834</v>
      </c>
      <c r="AC78" s="168"/>
      <c r="AD78" s="430" t="s">
        <v>834</v>
      </c>
      <c r="AE78" s="168"/>
      <c r="AF78" s="173" t="s">
        <v>834</v>
      </c>
      <c r="AG78" s="171"/>
      <c r="AH78" s="167" t="s">
        <v>834</v>
      </c>
      <c r="AI78" s="168"/>
      <c r="AJ78" s="373" t="s">
        <v>834</v>
      </c>
      <c r="AK78" s="431"/>
      <c r="AL78" s="167" t="s">
        <v>834</v>
      </c>
      <c r="AM78" s="168"/>
      <c r="AN78" s="173" t="s">
        <v>834</v>
      </c>
      <c r="AO78" s="171"/>
      <c r="AP78" s="432" t="s">
        <v>834</v>
      </c>
      <c r="AQ78" s="168"/>
      <c r="AR78" s="173" t="s">
        <v>834</v>
      </c>
      <c r="AS78" s="171"/>
      <c r="AT78" s="173" t="s">
        <v>834</v>
      </c>
      <c r="AU78" s="171"/>
      <c r="AV78" s="381" t="s">
        <v>834</v>
      </c>
      <c r="AW78" s="168"/>
      <c r="AX78" s="433" t="s">
        <v>834</v>
      </c>
      <c r="AY78" s="427"/>
      <c r="AZ78" s="167" t="s">
        <v>834</v>
      </c>
      <c r="BA78" s="427"/>
      <c r="BB78" s="164" t="s">
        <v>834</v>
      </c>
      <c r="BC78" s="168"/>
      <c r="BD78" s="464"/>
      <c r="BE78" s="427"/>
      <c r="BF78" s="384" t="s">
        <v>834</v>
      </c>
      <c r="BG78" s="168"/>
      <c r="BH78" s="432" t="s">
        <v>834</v>
      </c>
      <c r="BI78" s="168"/>
      <c r="BJ78" s="167"/>
      <c r="BK78" s="167"/>
      <c r="BL78" s="167" t="s">
        <v>834</v>
      </c>
      <c r="BM78" s="168"/>
      <c r="BN78" s="173" t="s">
        <v>834</v>
      </c>
      <c r="BO78" s="171" t="s">
        <v>546</v>
      </c>
      <c r="BP78" s="435" t="s">
        <v>834</v>
      </c>
      <c r="BQ78" s="436"/>
      <c r="BR78" s="167" t="s">
        <v>834</v>
      </c>
      <c r="BS78" s="168"/>
      <c r="BT78" s="167" t="s">
        <v>834</v>
      </c>
      <c r="BU78" s="168"/>
      <c r="BV78" s="167" t="s">
        <v>834</v>
      </c>
      <c r="BW78" s="168"/>
      <c r="BX78" s="437" t="s">
        <v>834</v>
      </c>
      <c r="BY78" s="171"/>
      <c r="BZ78" s="432"/>
      <c r="CA78" s="168"/>
      <c r="CB78" s="167" t="s">
        <v>834</v>
      </c>
      <c r="CC78" s="168"/>
      <c r="CD78" s="173" t="s">
        <v>834</v>
      </c>
      <c r="CE78" s="171"/>
      <c r="CF78" s="167" t="s">
        <v>834</v>
      </c>
      <c r="CG78" s="175"/>
      <c r="CH78" s="373">
        <v>4.5</v>
      </c>
      <c r="CI78" s="168" t="s">
        <v>1412</v>
      </c>
      <c r="CJ78" s="167" t="s">
        <v>834</v>
      </c>
      <c r="CK78" s="168"/>
      <c r="CL78" s="385" t="s">
        <v>834</v>
      </c>
      <c r="CM78" s="168"/>
      <c r="CN78" s="385" t="s">
        <v>834</v>
      </c>
      <c r="CO78" s="168"/>
      <c r="CP78" s="167" t="s">
        <v>834</v>
      </c>
      <c r="CQ78" s="168"/>
      <c r="CR78" s="373" t="s">
        <v>834</v>
      </c>
      <c r="CS78" s="427"/>
      <c r="CT78" s="455">
        <v>1.5</v>
      </c>
      <c r="CU78" s="168" t="s">
        <v>840</v>
      </c>
      <c r="CV78" s="432" t="s">
        <v>834</v>
      </c>
      <c r="CW78" s="168"/>
      <c r="CX78" s="168" t="s">
        <v>1413</v>
      </c>
      <c r="CY78" s="168"/>
      <c r="CZ78" s="173" t="s">
        <v>834</v>
      </c>
      <c r="DA78" s="171" t="s">
        <v>1394</v>
      </c>
      <c r="DB78" s="371" t="s">
        <v>546</v>
      </c>
      <c r="DC78" s="371">
        <f t="shared" si="10"/>
        <v>3</v>
      </c>
      <c r="DD78" s="371"/>
      <c r="DE78" s="371"/>
      <c r="DF78" s="371"/>
      <c r="DG78" s="371"/>
      <c r="DH78" s="371"/>
      <c r="DI78" s="371"/>
      <c r="DJ78" s="371"/>
      <c r="DK78" s="371"/>
      <c r="DL78" s="371"/>
      <c r="DM78" s="371"/>
      <c r="DN78" s="371"/>
      <c r="DO78" s="371"/>
      <c r="DP78" s="371"/>
      <c r="DQ78" s="371"/>
      <c r="DR78" s="371"/>
    </row>
    <row r="79" spans="1:122" ht="18.75" x14ac:dyDescent="0.3">
      <c r="A79" s="325">
        <v>5312</v>
      </c>
      <c r="B79" s="326">
        <v>49</v>
      </c>
      <c r="C79" s="268" t="s">
        <v>1414</v>
      </c>
      <c r="D79" s="424" t="s">
        <v>834</v>
      </c>
      <c r="E79" s="328"/>
      <c r="F79" s="173"/>
      <c r="G79" s="173"/>
      <c r="H79" s="373" t="s">
        <v>834</v>
      </c>
      <c r="I79" s="427"/>
      <c r="J79" s="173" t="s">
        <v>834</v>
      </c>
      <c r="K79" s="371"/>
      <c r="L79" s="426" t="s">
        <v>834</v>
      </c>
      <c r="M79" s="427"/>
      <c r="N79" s="173" t="s">
        <v>834</v>
      </c>
      <c r="O79" s="171"/>
      <c r="P79" s="385" t="s">
        <v>834</v>
      </c>
      <c r="Q79" s="427"/>
      <c r="R79" s="457">
        <v>0.39800000000000002</v>
      </c>
      <c r="S79" s="168" t="s">
        <v>1415</v>
      </c>
      <c r="T79" s="428" t="s">
        <v>834</v>
      </c>
      <c r="U79" s="376"/>
      <c r="V79" s="429" t="s">
        <v>834</v>
      </c>
      <c r="W79" s="377" t="s">
        <v>992</v>
      </c>
      <c r="X79" s="167" t="s">
        <v>834</v>
      </c>
      <c r="Y79" s="168" t="s">
        <v>1416</v>
      </c>
      <c r="Z79" s="167">
        <v>4</v>
      </c>
      <c r="AA79" s="168"/>
      <c r="AB79" s="167" t="s">
        <v>834</v>
      </c>
      <c r="AC79" s="168"/>
      <c r="AD79" s="430" t="s">
        <v>834</v>
      </c>
      <c r="AE79" s="168"/>
      <c r="AF79" s="173" t="s">
        <v>834</v>
      </c>
      <c r="AG79" s="171"/>
      <c r="AH79" s="167" t="s">
        <v>834</v>
      </c>
      <c r="AI79" s="168"/>
      <c r="AJ79" s="373" t="s">
        <v>834</v>
      </c>
      <c r="AK79" s="431"/>
      <c r="AL79" s="167" t="s">
        <v>834</v>
      </c>
      <c r="AM79" s="168"/>
      <c r="AN79" s="173" t="s">
        <v>834</v>
      </c>
      <c r="AO79" s="171"/>
      <c r="AP79" s="432" t="s">
        <v>834</v>
      </c>
      <c r="AQ79" s="168"/>
      <c r="AR79" s="173" t="s">
        <v>834</v>
      </c>
      <c r="AS79" s="171"/>
      <c r="AT79" s="173" t="s">
        <v>834</v>
      </c>
      <c r="AU79" s="171"/>
      <c r="AV79" s="381" t="s">
        <v>834</v>
      </c>
      <c r="AW79" s="167"/>
      <c r="AX79" s="433" t="s">
        <v>834</v>
      </c>
      <c r="AY79" s="427"/>
      <c r="AZ79" s="167" t="s">
        <v>834</v>
      </c>
      <c r="BA79" s="427"/>
      <c r="BB79" s="164" t="s">
        <v>834</v>
      </c>
      <c r="BC79" s="167"/>
      <c r="BD79" s="464" t="s">
        <v>546</v>
      </c>
      <c r="BE79" s="427"/>
      <c r="BF79" s="384" t="s">
        <v>834</v>
      </c>
      <c r="BG79" s="168"/>
      <c r="BH79" s="432" t="s">
        <v>834</v>
      </c>
      <c r="BI79" s="167"/>
      <c r="BJ79" s="167"/>
      <c r="BK79" s="167"/>
      <c r="BL79" s="167" t="s">
        <v>834</v>
      </c>
      <c r="BM79" s="167"/>
      <c r="BN79" s="173">
        <v>5.125</v>
      </c>
      <c r="BO79" s="171"/>
      <c r="BP79" s="435" t="s">
        <v>834</v>
      </c>
      <c r="BQ79" s="436"/>
      <c r="BR79" s="167" t="s">
        <v>834</v>
      </c>
      <c r="BS79" s="168" t="s">
        <v>1417</v>
      </c>
      <c r="BT79" s="167" t="s">
        <v>834</v>
      </c>
      <c r="BU79" s="167"/>
      <c r="BV79" s="167" t="s">
        <v>834</v>
      </c>
      <c r="BW79" s="167"/>
      <c r="BX79" s="437" t="s">
        <v>834</v>
      </c>
      <c r="BY79" s="171"/>
      <c r="BZ79" s="432"/>
      <c r="CA79" s="168"/>
      <c r="CB79" s="167" t="s">
        <v>834</v>
      </c>
      <c r="CC79" s="167"/>
      <c r="CD79" s="173" t="s">
        <v>834</v>
      </c>
      <c r="CE79" s="171"/>
      <c r="CF79" s="167" t="s">
        <v>834</v>
      </c>
      <c r="CG79" s="175"/>
      <c r="CH79" s="167">
        <v>4.5</v>
      </c>
      <c r="CI79" s="168"/>
      <c r="CJ79" s="167" t="s">
        <v>834</v>
      </c>
      <c r="CK79" s="168"/>
      <c r="CL79" s="385" t="s">
        <v>834</v>
      </c>
      <c r="CM79" s="168"/>
      <c r="CN79" s="385" t="s">
        <v>834</v>
      </c>
      <c r="CO79" s="167"/>
      <c r="CP79" s="167" t="s">
        <v>834</v>
      </c>
      <c r="CQ79" s="167"/>
      <c r="CR79" s="373" t="s">
        <v>834</v>
      </c>
      <c r="CS79" s="373"/>
      <c r="CT79" s="455">
        <v>1.5</v>
      </c>
      <c r="CU79" s="168" t="s">
        <v>840</v>
      </c>
      <c r="CV79" s="432" t="s">
        <v>834</v>
      </c>
      <c r="CW79" s="168" t="s">
        <v>1418</v>
      </c>
      <c r="CX79" s="168" t="s">
        <v>834</v>
      </c>
      <c r="CY79" s="168"/>
      <c r="CZ79" s="173" t="s">
        <v>834</v>
      </c>
      <c r="DA79" s="171" t="s">
        <v>1394</v>
      </c>
      <c r="DB79" s="371" t="s">
        <v>546</v>
      </c>
      <c r="DC79" s="371">
        <f t="shared" si="10"/>
        <v>5</v>
      </c>
      <c r="DD79" s="371"/>
      <c r="DE79" s="371"/>
      <c r="DF79" s="371"/>
      <c r="DG79" s="371"/>
      <c r="DH79" s="371"/>
      <c r="DI79" s="371"/>
      <c r="DJ79" s="371"/>
      <c r="DK79" s="371"/>
      <c r="DL79" s="371"/>
      <c r="DM79" s="371"/>
      <c r="DN79" s="371"/>
      <c r="DO79" s="371"/>
      <c r="DP79" s="371"/>
      <c r="DQ79" s="371"/>
      <c r="DR79" s="371"/>
    </row>
    <row r="80" spans="1:122" ht="18.75" x14ac:dyDescent="0.3">
      <c r="A80" s="325">
        <v>5313</v>
      </c>
      <c r="B80" s="326">
        <v>50</v>
      </c>
      <c r="C80" s="327" t="s">
        <v>1419</v>
      </c>
      <c r="D80" s="424" t="s">
        <v>834</v>
      </c>
      <c r="E80" s="328"/>
      <c r="F80" s="173"/>
      <c r="G80" s="173"/>
      <c r="H80" s="373" t="s">
        <v>834</v>
      </c>
      <c r="I80" s="427"/>
      <c r="J80" s="173" t="s">
        <v>834</v>
      </c>
      <c r="K80" s="371"/>
      <c r="L80" s="426" t="s">
        <v>834</v>
      </c>
      <c r="M80" s="427"/>
      <c r="N80" s="173" t="s">
        <v>834</v>
      </c>
      <c r="O80" s="171"/>
      <c r="P80" s="385" t="s">
        <v>834</v>
      </c>
      <c r="Q80" s="427" t="s">
        <v>1420</v>
      </c>
      <c r="R80" s="457">
        <v>0.39800000000000002</v>
      </c>
      <c r="S80" s="168" t="s">
        <v>1415</v>
      </c>
      <c r="T80" s="428" t="s">
        <v>834</v>
      </c>
      <c r="U80" s="376"/>
      <c r="V80" s="429" t="s">
        <v>834</v>
      </c>
      <c r="W80" s="377" t="s">
        <v>992</v>
      </c>
      <c r="X80" s="167" t="s">
        <v>834</v>
      </c>
      <c r="Y80" s="168" t="s">
        <v>856</v>
      </c>
      <c r="Z80" s="167">
        <v>4</v>
      </c>
      <c r="AA80" s="168"/>
      <c r="AB80" s="167" t="s">
        <v>834</v>
      </c>
      <c r="AC80" s="168"/>
      <c r="AD80" s="430" t="s">
        <v>834</v>
      </c>
      <c r="AE80" s="168"/>
      <c r="AF80" s="173" t="s">
        <v>834</v>
      </c>
      <c r="AG80" s="171"/>
      <c r="AH80" s="167" t="s">
        <v>834</v>
      </c>
      <c r="AI80" s="168"/>
      <c r="AJ80" s="373" t="s">
        <v>834</v>
      </c>
      <c r="AK80" s="431"/>
      <c r="AL80" s="167" t="s">
        <v>834</v>
      </c>
      <c r="AM80" s="168"/>
      <c r="AN80" s="173" t="s">
        <v>834</v>
      </c>
      <c r="AO80" s="171"/>
      <c r="AP80" s="432" t="s">
        <v>834</v>
      </c>
      <c r="AQ80" s="168"/>
      <c r="AR80" s="173" t="s">
        <v>834</v>
      </c>
      <c r="AS80" s="171"/>
      <c r="AT80" s="173" t="s">
        <v>834</v>
      </c>
      <c r="AU80" s="171"/>
      <c r="AV80" s="381" t="s">
        <v>834</v>
      </c>
      <c r="AW80" s="167"/>
      <c r="AX80" s="433" t="s">
        <v>834</v>
      </c>
      <c r="AY80" s="427"/>
      <c r="AZ80" s="167" t="s">
        <v>834</v>
      </c>
      <c r="BA80" s="427"/>
      <c r="BB80" s="164" t="s">
        <v>834</v>
      </c>
      <c r="BC80" s="167"/>
      <c r="BD80" s="464"/>
      <c r="BE80" s="427"/>
      <c r="BF80" s="384" t="s">
        <v>834</v>
      </c>
      <c r="BG80" s="168"/>
      <c r="BH80" s="432" t="s">
        <v>834</v>
      </c>
      <c r="BI80" s="167"/>
      <c r="BJ80" s="167"/>
      <c r="BK80" s="167"/>
      <c r="BL80" s="167" t="s">
        <v>834</v>
      </c>
      <c r="BM80" s="167"/>
      <c r="BN80" s="173">
        <v>5.125</v>
      </c>
      <c r="BO80" s="171"/>
      <c r="BP80" s="435" t="s">
        <v>834</v>
      </c>
      <c r="BQ80" s="436"/>
      <c r="BR80" s="167" t="s">
        <v>834</v>
      </c>
      <c r="BS80" s="167"/>
      <c r="BT80" s="167" t="s">
        <v>834</v>
      </c>
      <c r="BU80" s="167"/>
      <c r="BV80" s="167" t="s">
        <v>834</v>
      </c>
      <c r="BW80" s="167"/>
      <c r="BX80" s="437" t="s">
        <v>834</v>
      </c>
      <c r="BY80" s="171"/>
      <c r="BZ80" s="432"/>
      <c r="CA80" s="168"/>
      <c r="CB80" s="167" t="s">
        <v>834</v>
      </c>
      <c r="CC80" s="167"/>
      <c r="CD80" s="173" t="s">
        <v>834</v>
      </c>
      <c r="CE80" s="171"/>
      <c r="CF80" s="167" t="s">
        <v>834</v>
      </c>
      <c r="CG80" s="175"/>
      <c r="CH80" s="167">
        <v>4.5</v>
      </c>
      <c r="CI80" s="168"/>
      <c r="CJ80" s="167" t="s">
        <v>834</v>
      </c>
      <c r="CK80" s="168"/>
      <c r="CL80" s="385" t="s">
        <v>834</v>
      </c>
      <c r="CM80" s="168"/>
      <c r="CN80" s="385" t="s">
        <v>834</v>
      </c>
      <c r="CO80" s="167"/>
      <c r="CP80" s="167" t="s">
        <v>834</v>
      </c>
      <c r="CQ80" s="167"/>
      <c r="CR80" s="373" t="s">
        <v>834</v>
      </c>
      <c r="CS80" s="373"/>
      <c r="CT80" s="455">
        <v>1.5</v>
      </c>
      <c r="CU80" s="168" t="s">
        <v>840</v>
      </c>
      <c r="CV80" s="442" t="s">
        <v>834</v>
      </c>
      <c r="CW80" s="168" t="s">
        <v>1421</v>
      </c>
      <c r="CX80" s="168" t="s">
        <v>834</v>
      </c>
      <c r="CY80" s="168"/>
      <c r="CZ80" s="173" t="s">
        <v>834</v>
      </c>
      <c r="DA80" s="171" t="s">
        <v>1394</v>
      </c>
      <c r="DB80" s="371" t="s">
        <v>546</v>
      </c>
      <c r="DC80" s="371">
        <f t="shared" si="10"/>
        <v>5</v>
      </c>
      <c r="DD80" s="371"/>
      <c r="DE80" s="371"/>
      <c r="DF80" s="371"/>
      <c r="DG80" s="371"/>
      <c r="DH80" s="371"/>
      <c r="DI80" s="371"/>
      <c r="DJ80" s="371"/>
      <c r="DK80" s="371"/>
      <c r="DL80" s="371"/>
      <c r="DM80" s="371"/>
      <c r="DN80" s="371"/>
      <c r="DO80" s="371"/>
      <c r="DP80" s="371"/>
      <c r="DQ80" s="371"/>
      <c r="DR80" s="371"/>
    </row>
    <row r="81" spans="1:122" ht="18.75" x14ac:dyDescent="0.3">
      <c r="A81" s="325">
        <v>541191</v>
      </c>
      <c r="B81" s="326">
        <v>51</v>
      </c>
      <c r="C81" s="327" t="s">
        <v>1422</v>
      </c>
      <c r="D81" s="424" t="s">
        <v>834</v>
      </c>
      <c r="E81" s="328"/>
      <c r="F81" s="173"/>
      <c r="G81" s="173"/>
      <c r="H81" s="373" t="s">
        <v>834</v>
      </c>
      <c r="I81" s="427"/>
      <c r="J81" s="173" t="s">
        <v>834</v>
      </c>
      <c r="K81" s="371"/>
      <c r="L81" s="426" t="s">
        <v>834</v>
      </c>
      <c r="M81" s="427"/>
      <c r="N81" s="173" t="s">
        <v>834</v>
      </c>
      <c r="O81" s="171"/>
      <c r="P81" s="385" t="s">
        <v>834</v>
      </c>
      <c r="Q81" s="427"/>
      <c r="R81" s="457">
        <v>0.39800000000000002</v>
      </c>
      <c r="S81" s="168" t="s">
        <v>837</v>
      </c>
      <c r="T81" s="428" t="s">
        <v>834</v>
      </c>
      <c r="U81" s="376"/>
      <c r="V81" s="429" t="s">
        <v>834</v>
      </c>
      <c r="W81" s="377" t="s">
        <v>992</v>
      </c>
      <c r="X81" s="167" t="s">
        <v>834</v>
      </c>
      <c r="Y81" s="168" t="s">
        <v>856</v>
      </c>
      <c r="Z81" s="167">
        <v>4</v>
      </c>
      <c r="AA81" s="168"/>
      <c r="AB81" s="167" t="s">
        <v>834</v>
      </c>
      <c r="AC81" s="168"/>
      <c r="AD81" s="430" t="s">
        <v>834</v>
      </c>
      <c r="AE81" s="168"/>
      <c r="AF81" s="173" t="s">
        <v>834</v>
      </c>
      <c r="AG81" s="171"/>
      <c r="AH81" s="167" t="s">
        <v>834</v>
      </c>
      <c r="AI81" s="168"/>
      <c r="AJ81" s="373" t="s">
        <v>834</v>
      </c>
      <c r="AK81" s="431"/>
      <c r="AL81" s="167" t="s">
        <v>834</v>
      </c>
      <c r="AM81" s="168"/>
      <c r="AN81" s="173" t="s">
        <v>834</v>
      </c>
      <c r="AO81" s="171"/>
      <c r="AP81" s="432" t="s">
        <v>834</v>
      </c>
      <c r="AQ81" s="168"/>
      <c r="AR81" s="173" t="s">
        <v>834</v>
      </c>
      <c r="AS81" s="171"/>
      <c r="AT81" s="173" t="s">
        <v>834</v>
      </c>
      <c r="AU81" s="171"/>
      <c r="AV81" s="381" t="s">
        <v>834</v>
      </c>
      <c r="AW81" s="167"/>
      <c r="AX81" s="433" t="s">
        <v>834</v>
      </c>
      <c r="AY81" s="427"/>
      <c r="AZ81" s="167" t="s">
        <v>834</v>
      </c>
      <c r="BA81" s="427"/>
      <c r="BB81" s="164" t="s">
        <v>834</v>
      </c>
      <c r="BC81" s="167"/>
      <c r="BD81" s="464"/>
      <c r="BE81" s="427"/>
      <c r="BF81" s="384" t="s">
        <v>834</v>
      </c>
      <c r="BG81" s="168"/>
      <c r="BH81" s="432" t="s">
        <v>834</v>
      </c>
      <c r="BI81" s="167"/>
      <c r="BJ81" s="167"/>
      <c r="BK81" s="167"/>
      <c r="BL81" s="167" t="s">
        <v>834</v>
      </c>
      <c r="BM81" s="167"/>
      <c r="BN81" s="173">
        <v>5.125</v>
      </c>
      <c r="BO81" s="171"/>
      <c r="BP81" s="466">
        <v>4</v>
      </c>
      <c r="BQ81" s="436"/>
      <c r="BR81" s="167" t="s">
        <v>834</v>
      </c>
      <c r="BS81" s="167"/>
      <c r="BT81" s="167" t="s">
        <v>834</v>
      </c>
      <c r="BU81" s="167"/>
      <c r="BV81" s="167" t="s">
        <v>834</v>
      </c>
      <c r="BW81" s="167"/>
      <c r="BX81" s="437" t="s">
        <v>834</v>
      </c>
      <c r="BY81" s="171"/>
      <c r="BZ81" s="432"/>
      <c r="CA81" s="168"/>
      <c r="CB81" s="167" t="s">
        <v>834</v>
      </c>
      <c r="CC81" s="167"/>
      <c r="CD81" s="173" t="s">
        <v>834</v>
      </c>
      <c r="CE81" s="171"/>
      <c r="CF81" s="167" t="s">
        <v>834</v>
      </c>
      <c r="CG81" s="175"/>
      <c r="CH81" s="167">
        <v>4.5</v>
      </c>
      <c r="CI81" s="168"/>
      <c r="CJ81" s="167" t="s">
        <v>834</v>
      </c>
      <c r="CK81" s="168"/>
      <c r="CL81" s="385" t="s">
        <v>834</v>
      </c>
      <c r="CM81" s="168"/>
      <c r="CN81" s="385" t="s">
        <v>834</v>
      </c>
      <c r="CO81" s="167"/>
      <c r="CP81" s="167" t="s">
        <v>834</v>
      </c>
      <c r="CQ81" s="167"/>
      <c r="CR81" s="373" t="s">
        <v>834</v>
      </c>
      <c r="CS81" s="373"/>
      <c r="CT81" s="432">
        <v>6.5</v>
      </c>
      <c r="CU81" s="168" t="s">
        <v>938</v>
      </c>
      <c r="CV81" s="493">
        <v>6</v>
      </c>
      <c r="CW81" s="494" t="s">
        <v>1423</v>
      </c>
      <c r="CX81" s="494" t="s">
        <v>834</v>
      </c>
      <c r="CY81" s="494"/>
      <c r="CZ81" s="173" t="s">
        <v>834</v>
      </c>
      <c r="DA81" s="171" t="s">
        <v>1394</v>
      </c>
      <c r="DB81" s="371" t="s">
        <v>546</v>
      </c>
      <c r="DC81" s="371">
        <f t="shared" si="10"/>
        <v>7</v>
      </c>
      <c r="DD81" s="371"/>
      <c r="DE81" s="371"/>
      <c r="DF81" s="371"/>
      <c r="DG81" s="371"/>
      <c r="DH81" s="371"/>
      <c r="DI81" s="371"/>
      <c r="DJ81" s="371"/>
      <c r="DK81" s="371"/>
      <c r="DL81" s="371"/>
      <c r="DM81" s="371"/>
      <c r="DN81" s="371"/>
      <c r="DO81" s="371"/>
      <c r="DP81" s="371"/>
      <c r="DQ81" s="371"/>
      <c r="DR81" s="371"/>
    </row>
    <row r="82" spans="1:122" ht="18.75" x14ac:dyDescent="0.3">
      <c r="A82" s="325">
        <v>523999</v>
      </c>
      <c r="B82" s="326">
        <v>52</v>
      </c>
      <c r="C82" s="327" t="s">
        <v>1424</v>
      </c>
      <c r="D82" s="424" t="s">
        <v>834</v>
      </c>
      <c r="E82" s="328"/>
      <c r="F82" s="173"/>
      <c r="G82" s="173"/>
      <c r="H82" s="373" t="s">
        <v>834</v>
      </c>
      <c r="I82" s="427"/>
      <c r="J82" s="173" t="s">
        <v>834</v>
      </c>
      <c r="K82" s="371" t="s">
        <v>1425</v>
      </c>
      <c r="L82" s="426" t="s">
        <v>834</v>
      </c>
      <c r="M82" s="427"/>
      <c r="N82" s="173" t="s">
        <v>834</v>
      </c>
      <c r="O82" s="171"/>
      <c r="P82" s="385" t="s">
        <v>834</v>
      </c>
      <c r="Q82" s="427" t="s">
        <v>1426</v>
      </c>
      <c r="R82" s="457">
        <v>0.39800000000000002</v>
      </c>
      <c r="S82" s="168" t="s">
        <v>837</v>
      </c>
      <c r="T82" s="428">
        <v>5.75</v>
      </c>
      <c r="U82" s="376" t="s">
        <v>1427</v>
      </c>
      <c r="V82" s="429" t="s">
        <v>834</v>
      </c>
      <c r="W82" s="377" t="s">
        <v>992</v>
      </c>
      <c r="X82" s="167" t="s">
        <v>834</v>
      </c>
      <c r="Y82" s="168" t="s">
        <v>856</v>
      </c>
      <c r="Z82" s="167">
        <v>4</v>
      </c>
      <c r="AA82" s="168"/>
      <c r="AB82" s="167" t="s">
        <v>834</v>
      </c>
      <c r="AC82" s="168"/>
      <c r="AD82" s="430" t="s">
        <v>834</v>
      </c>
      <c r="AE82" s="168"/>
      <c r="AF82" s="173" t="s">
        <v>834</v>
      </c>
      <c r="AG82" s="171"/>
      <c r="AH82" s="167" t="s">
        <v>834</v>
      </c>
      <c r="AI82" s="168"/>
      <c r="AJ82" s="373" t="s">
        <v>834</v>
      </c>
      <c r="AK82" s="431"/>
      <c r="AL82" s="167" t="s">
        <v>834</v>
      </c>
      <c r="AM82" s="168"/>
      <c r="AN82" s="173" t="s">
        <v>834</v>
      </c>
      <c r="AO82" s="171"/>
      <c r="AP82" s="432" t="s">
        <v>834</v>
      </c>
      <c r="AQ82" s="168"/>
      <c r="AR82" s="173" t="s">
        <v>834</v>
      </c>
      <c r="AS82" s="171"/>
      <c r="AT82" s="173" t="s">
        <v>834</v>
      </c>
      <c r="AU82" s="171"/>
      <c r="AV82" s="381" t="s">
        <v>834</v>
      </c>
      <c r="AW82" s="167"/>
      <c r="AX82" s="433" t="s">
        <v>834</v>
      </c>
      <c r="AY82" s="427"/>
      <c r="AZ82" s="167" t="s">
        <v>834</v>
      </c>
      <c r="BA82" s="427"/>
      <c r="BB82" s="164" t="s">
        <v>834</v>
      </c>
      <c r="BC82" s="167"/>
      <c r="BD82" s="464"/>
      <c r="BE82" s="427"/>
      <c r="BF82" s="384" t="s">
        <v>834</v>
      </c>
      <c r="BG82" s="168"/>
      <c r="BH82" s="432" t="s">
        <v>834</v>
      </c>
      <c r="BI82" s="167"/>
      <c r="BJ82" s="167"/>
      <c r="BK82" s="167"/>
      <c r="BL82" s="167">
        <v>6.875</v>
      </c>
      <c r="BM82" s="168" t="s">
        <v>1428</v>
      </c>
      <c r="BN82" s="173">
        <v>5.125</v>
      </c>
      <c r="BO82" s="171"/>
      <c r="BP82" s="466">
        <v>4</v>
      </c>
      <c r="BQ82" s="436" t="s">
        <v>546</v>
      </c>
      <c r="BR82" s="167" t="s">
        <v>834</v>
      </c>
      <c r="BS82" s="167"/>
      <c r="BT82" s="167" t="s">
        <v>834</v>
      </c>
      <c r="BU82" s="167"/>
      <c r="BV82" s="167" t="s">
        <v>834</v>
      </c>
      <c r="BW82" s="167"/>
      <c r="BX82" s="437" t="s">
        <v>834</v>
      </c>
      <c r="BY82" s="171"/>
      <c r="BZ82" s="432"/>
      <c r="CA82" s="168"/>
      <c r="CB82" s="167" t="s">
        <v>834</v>
      </c>
      <c r="CC82" s="167"/>
      <c r="CD82" s="173" t="s">
        <v>834</v>
      </c>
      <c r="CE82" s="171"/>
      <c r="CF82" s="167" t="s">
        <v>834</v>
      </c>
      <c r="CG82" s="175" t="s">
        <v>1429</v>
      </c>
      <c r="CH82" s="167">
        <v>4.5</v>
      </c>
      <c r="CI82" s="168"/>
      <c r="CJ82" s="167" t="s">
        <v>834</v>
      </c>
      <c r="CK82" s="168"/>
      <c r="CL82" s="445">
        <v>6.25</v>
      </c>
      <c r="CM82" s="461" t="s">
        <v>1430</v>
      </c>
      <c r="CN82" s="385" t="s">
        <v>834</v>
      </c>
      <c r="CO82" s="167"/>
      <c r="CP82" s="167" t="s">
        <v>834</v>
      </c>
      <c r="CQ82" s="167"/>
      <c r="CR82" s="373" t="s">
        <v>834</v>
      </c>
      <c r="CS82" s="373"/>
      <c r="CT82" s="455">
        <v>1.5</v>
      </c>
      <c r="CU82" s="168" t="s">
        <v>1431</v>
      </c>
      <c r="CV82" s="432">
        <v>6</v>
      </c>
      <c r="CW82" s="168"/>
      <c r="CX82" s="168" t="s">
        <v>834</v>
      </c>
      <c r="CY82" s="168"/>
      <c r="CZ82" s="173" t="s">
        <v>834</v>
      </c>
      <c r="DA82" s="171" t="s">
        <v>1394</v>
      </c>
      <c r="DB82" s="371" t="s">
        <v>546</v>
      </c>
      <c r="DC82" s="371">
        <f t="shared" si="10"/>
        <v>10</v>
      </c>
      <c r="DD82" s="371"/>
      <c r="DE82" s="371"/>
      <c r="DF82" s="371"/>
      <c r="DG82" s="371"/>
      <c r="DH82" s="371"/>
      <c r="DI82" s="371"/>
      <c r="DJ82" s="371"/>
      <c r="DK82" s="371"/>
      <c r="DL82" s="371"/>
      <c r="DM82" s="371"/>
      <c r="DN82" s="371"/>
      <c r="DO82" s="371"/>
      <c r="DP82" s="371"/>
      <c r="DQ82" s="371"/>
      <c r="DR82" s="371"/>
    </row>
    <row r="83" spans="1:122" ht="18.75" x14ac:dyDescent="0.3">
      <c r="A83" s="325"/>
      <c r="B83" s="326"/>
      <c r="C83" s="456"/>
      <c r="D83" s="424"/>
      <c r="E83" s="328"/>
      <c r="F83" s="173"/>
      <c r="G83" s="173"/>
      <c r="H83" s="373"/>
      <c r="I83" s="427"/>
      <c r="J83" s="173"/>
      <c r="K83" s="371"/>
      <c r="L83" s="426"/>
      <c r="M83" s="427"/>
      <c r="N83" s="173"/>
      <c r="O83" s="171"/>
      <c r="P83" s="385"/>
      <c r="Q83" s="427"/>
      <c r="R83" s="374"/>
      <c r="S83" s="168"/>
      <c r="T83" s="428"/>
      <c r="U83" s="376"/>
      <c r="V83" s="429"/>
      <c r="W83" s="377"/>
      <c r="X83" s="167"/>
      <c r="Y83" s="168"/>
      <c r="Z83" s="167"/>
      <c r="AA83" s="168"/>
      <c r="AB83" s="167"/>
      <c r="AC83" s="168"/>
      <c r="AD83" s="430" t="s">
        <v>546</v>
      </c>
      <c r="AE83" s="168"/>
      <c r="AF83" s="173"/>
      <c r="AG83" s="171"/>
      <c r="AH83" s="167"/>
      <c r="AI83" s="168"/>
      <c r="AJ83" s="373"/>
      <c r="AK83" s="431"/>
      <c r="AL83" s="167"/>
      <c r="AM83" s="168"/>
      <c r="AN83" s="173"/>
      <c r="AO83" s="171"/>
      <c r="AP83" s="432"/>
      <c r="AQ83" s="168"/>
      <c r="AR83" s="173"/>
      <c r="AS83" s="171"/>
      <c r="AT83" s="173"/>
      <c r="AU83" s="171"/>
      <c r="AV83" s="381"/>
      <c r="AW83" s="167"/>
      <c r="AX83" s="433"/>
      <c r="AY83" s="427"/>
      <c r="AZ83" s="167"/>
      <c r="BA83" s="427"/>
      <c r="BB83" s="164"/>
      <c r="BC83" s="167"/>
      <c r="BD83" s="464"/>
      <c r="BE83" s="427"/>
      <c r="BF83" s="384"/>
      <c r="BG83" s="168"/>
      <c r="BH83" s="432"/>
      <c r="BI83" s="167"/>
      <c r="BJ83" s="167"/>
      <c r="BK83" s="167"/>
      <c r="BL83" s="167"/>
      <c r="BM83" s="167"/>
      <c r="BN83" s="173"/>
      <c r="BO83" s="171"/>
      <c r="BP83" s="435"/>
      <c r="BQ83" s="436"/>
      <c r="BR83" s="167"/>
      <c r="BS83" s="167"/>
      <c r="BT83" s="167"/>
      <c r="BU83" s="167"/>
      <c r="BV83" s="167"/>
      <c r="BW83" s="167"/>
      <c r="BX83" s="437"/>
      <c r="BY83" s="171"/>
      <c r="BZ83" s="432"/>
      <c r="CA83" s="168"/>
      <c r="CB83" s="167"/>
      <c r="CC83" s="167"/>
      <c r="CD83" s="173"/>
      <c r="CE83" s="171"/>
      <c r="CF83" s="167"/>
      <c r="CG83" s="167"/>
      <c r="CH83" s="167"/>
      <c r="CI83" s="168"/>
      <c r="CJ83" s="167"/>
      <c r="CK83" s="168"/>
      <c r="CL83" s="385"/>
      <c r="CM83" s="168"/>
      <c r="CN83" s="385"/>
      <c r="CO83" s="167"/>
      <c r="CP83" s="167"/>
      <c r="CQ83" s="167"/>
      <c r="CR83" s="373"/>
      <c r="CS83" s="373"/>
      <c r="CT83" s="432"/>
      <c r="CU83" s="168"/>
      <c r="CV83" s="432"/>
      <c r="CW83" s="168"/>
      <c r="CX83" s="168"/>
      <c r="CY83" s="168"/>
      <c r="CZ83" s="173"/>
      <c r="DA83" s="171"/>
      <c r="DB83" s="371"/>
      <c r="DC83" s="371"/>
      <c r="DD83" s="371"/>
      <c r="DE83" s="371"/>
      <c r="DF83" s="371"/>
      <c r="DG83" s="371"/>
      <c r="DH83" s="371"/>
      <c r="DI83" s="371"/>
      <c r="DJ83" s="371"/>
      <c r="DK83" s="371"/>
      <c r="DL83" s="371"/>
      <c r="DM83" s="371"/>
      <c r="DN83" s="371"/>
      <c r="DO83" s="371"/>
      <c r="DP83" s="371"/>
      <c r="DQ83" s="371"/>
      <c r="DR83" s="371"/>
    </row>
    <row r="84" spans="1:122" ht="18.75" x14ac:dyDescent="0.3">
      <c r="A84" s="495"/>
      <c r="B84" s="496"/>
      <c r="C84" s="497" t="s">
        <v>742</v>
      </c>
      <c r="D84" s="498"/>
      <c r="E84" s="499"/>
      <c r="F84" s="500"/>
      <c r="G84" s="500"/>
      <c r="H84" s="501"/>
      <c r="I84" s="502"/>
      <c r="J84" s="500"/>
      <c r="K84" s="503"/>
      <c r="L84" s="504"/>
      <c r="M84" s="502"/>
      <c r="N84" s="500"/>
      <c r="O84" s="505"/>
      <c r="P84" s="506"/>
      <c r="Q84" s="502"/>
      <c r="R84" s="507"/>
      <c r="S84" s="508"/>
      <c r="T84" s="509"/>
      <c r="U84" s="510"/>
      <c r="V84" s="511"/>
      <c r="W84" s="512"/>
      <c r="X84" s="513"/>
      <c r="Y84" s="508"/>
      <c r="Z84" s="513"/>
      <c r="AA84" s="508"/>
      <c r="AB84" s="513"/>
      <c r="AC84" s="508"/>
      <c r="AD84" s="514" t="s">
        <v>546</v>
      </c>
      <c r="AE84" s="508"/>
      <c r="AF84" s="500"/>
      <c r="AG84" s="505"/>
      <c r="AH84" s="513"/>
      <c r="AI84" s="508"/>
      <c r="AJ84" s="501"/>
      <c r="AK84" s="515"/>
      <c r="AL84" s="513"/>
      <c r="AM84" s="508"/>
      <c r="AN84" s="500"/>
      <c r="AO84" s="505"/>
      <c r="AP84" s="516"/>
      <c r="AQ84" s="508"/>
      <c r="AR84" s="500"/>
      <c r="AS84" s="505"/>
      <c r="AT84" s="500"/>
      <c r="AU84" s="505"/>
      <c r="AV84" s="517"/>
      <c r="AW84" s="513"/>
      <c r="AX84" s="518"/>
      <c r="AY84" s="502"/>
      <c r="AZ84" s="513"/>
      <c r="BA84" s="502"/>
      <c r="BB84" s="166"/>
      <c r="BC84" s="513"/>
      <c r="BD84" s="519"/>
      <c r="BE84" s="502"/>
      <c r="BF84" s="520"/>
      <c r="BG84" s="508"/>
      <c r="BH84" s="516"/>
      <c r="BI84" s="513"/>
      <c r="BJ84" s="513"/>
      <c r="BK84" s="513"/>
      <c r="BL84" s="513"/>
      <c r="BM84" s="513"/>
      <c r="BN84" s="500"/>
      <c r="BO84" s="505"/>
      <c r="BP84" s="521"/>
      <c r="BQ84" s="522"/>
      <c r="BR84" s="513"/>
      <c r="BS84" s="513"/>
      <c r="BT84" s="513"/>
      <c r="BU84" s="513"/>
      <c r="BV84" s="513"/>
      <c r="BW84" s="513"/>
      <c r="BX84" s="523"/>
      <c r="BY84" s="505"/>
      <c r="BZ84" s="516"/>
      <c r="CA84" s="508"/>
      <c r="CB84" s="513"/>
      <c r="CC84" s="513"/>
      <c r="CD84" s="500"/>
      <c r="CE84" s="505"/>
      <c r="CF84" s="513"/>
      <c r="CG84" s="513"/>
      <c r="CH84" s="513"/>
      <c r="CI84" s="508"/>
      <c r="CJ84" s="513"/>
      <c r="CK84" s="508"/>
      <c r="CL84" s="506"/>
      <c r="CM84" s="508"/>
      <c r="CN84" s="506"/>
      <c r="CO84" s="513"/>
      <c r="CP84" s="513"/>
      <c r="CQ84" s="513"/>
      <c r="CR84" s="501"/>
      <c r="CS84" s="501"/>
      <c r="CT84" s="516"/>
      <c r="CU84" s="508"/>
      <c r="CV84" s="516"/>
      <c r="CW84" s="508"/>
      <c r="CX84" s="508"/>
      <c r="CY84" s="508"/>
      <c r="CZ84" s="500"/>
      <c r="DA84" s="505"/>
      <c r="DB84" s="503"/>
      <c r="DC84" s="503"/>
      <c r="DD84" s="503"/>
      <c r="DE84" s="503"/>
      <c r="DF84" s="503"/>
      <c r="DG84" s="503"/>
      <c r="DH84" s="503"/>
      <c r="DI84" s="503"/>
      <c r="DJ84" s="503"/>
      <c r="DK84" s="503"/>
      <c r="DL84" s="503"/>
      <c r="DM84" s="503"/>
      <c r="DN84" s="503"/>
      <c r="DO84" s="503"/>
      <c r="DP84" s="503"/>
      <c r="DQ84" s="503"/>
      <c r="DR84" s="503"/>
    </row>
    <row r="85" spans="1:122" ht="18.75" x14ac:dyDescent="0.3">
      <c r="A85" s="524"/>
      <c r="B85" s="525"/>
      <c r="C85" s="526" t="s">
        <v>1432</v>
      </c>
      <c r="D85" s="527" t="s">
        <v>832</v>
      </c>
      <c r="E85" s="528"/>
      <c r="F85" s="529" t="s">
        <v>832</v>
      </c>
      <c r="G85" s="529"/>
      <c r="H85" s="529" t="s">
        <v>832</v>
      </c>
      <c r="I85" s="530"/>
      <c r="J85" s="438" t="s">
        <v>832</v>
      </c>
      <c r="K85" s="531"/>
      <c r="L85" s="532" t="s">
        <v>832</v>
      </c>
      <c r="M85" s="530"/>
      <c r="N85" s="400" t="s">
        <v>832</v>
      </c>
      <c r="O85" s="533"/>
      <c r="P85" s="534" t="s">
        <v>832</v>
      </c>
      <c r="Q85" s="530"/>
      <c r="R85" s="534" t="s">
        <v>832</v>
      </c>
      <c r="S85" s="535"/>
      <c r="T85" s="534" t="s">
        <v>832</v>
      </c>
      <c r="U85" s="536"/>
      <c r="V85" s="534" t="s">
        <v>832</v>
      </c>
      <c r="W85" s="537"/>
      <c r="X85" s="534" t="s">
        <v>832</v>
      </c>
      <c r="Y85" s="535"/>
      <c r="Z85" s="534" t="s">
        <v>832</v>
      </c>
      <c r="AA85" s="535"/>
      <c r="AB85" s="534" t="s">
        <v>832</v>
      </c>
      <c r="AC85" s="535"/>
      <c r="AD85" s="538" t="s">
        <v>832</v>
      </c>
      <c r="AE85" s="535"/>
      <c r="AF85" s="538" t="s">
        <v>832</v>
      </c>
      <c r="AG85" s="533"/>
      <c r="AH85" s="538" t="s">
        <v>832</v>
      </c>
      <c r="AI85" s="535"/>
      <c r="AJ85" s="538" t="s">
        <v>832</v>
      </c>
      <c r="AK85" s="539"/>
      <c r="AL85" s="538" t="s">
        <v>832</v>
      </c>
      <c r="AM85" s="535"/>
      <c r="AN85" s="491" t="s">
        <v>832</v>
      </c>
      <c r="AO85" s="533"/>
      <c r="AP85" s="538" t="s">
        <v>832</v>
      </c>
      <c r="AQ85" s="535"/>
      <c r="AR85" s="438" t="s">
        <v>832</v>
      </c>
      <c r="AS85" s="533"/>
      <c r="AT85" s="438" t="s">
        <v>832</v>
      </c>
      <c r="AU85" s="533"/>
      <c r="AV85" s="538" t="s">
        <v>832</v>
      </c>
      <c r="AW85" s="540"/>
      <c r="AX85" s="538" t="s">
        <v>832</v>
      </c>
      <c r="AY85" s="530"/>
      <c r="AZ85" s="540" t="s">
        <v>832</v>
      </c>
      <c r="BA85" s="530"/>
      <c r="BB85" s="538" t="s">
        <v>832</v>
      </c>
      <c r="BC85" s="540"/>
      <c r="BD85" s="540" t="s">
        <v>832</v>
      </c>
      <c r="BE85" s="530"/>
      <c r="BF85" s="540" t="s">
        <v>832</v>
      </c>
      <c r="BG85" s="535"/>
      <c r="BH85" s="538" t="s">
        <v>832</v>
      </c>
      <c r="BI85" s="540"/>
      <c r="BJ85" s="540" t="s">
        <v>832</v>
      </c>
      <c r="BK85" s="540"/>
      <c r="BL85" s="538" t="s">
        <v>832</v>
      </c>
      <c r="BM85" s="540"/>
      <c r="BN85" s="438" t="s">
        <v>832</v>
      </c>
      <c r="BO85" s="533"/>
      <c r="BP85" s="538" t="s">
        <v>832</v>
      </c>
      <c r="BQ85" s="541"/>
      <c r="BR85" s="540" t="s">
        <v>832</v>
      </c>
      <c r="BS85" s="540"/>
      <c r="BT85" s="538" t="s">
        <v>832</v>
      </c>
      <c r="BU85" s="540"/>
      <c r="BV85" s="540" t="s">
        <v>832</v>
      </c>
      <c r="BW85" s="540"/>
      <c r="BX85" s="438" t="s">
        <v>832</v>
      </c>
      <c r="BY85" s="533"/>
      <c r="BZ85" s="538" t="s">
        <v>832</v>
      </c>
      <c r="CA85" s="535"/>
      <c r="CB85" s="538" t="s">
        <v>832</v>
      </c>
      <c r="CC85" s="540"/>
      <c r="CD85" s="407" t="s">
        <v>832</v>
      </c>
      <c r="CE85" s="533"/>
      <c r="CF85" s="538" t="s">
        <v>832</v>
      </c>
      <c r="CG85" s="540"/>
      <c r="CH85" s="538" t="s">
        <v>832</v>
      </c>
      <c r="CI85" s="535"/>
      <c r="CJ85" s="538" t="s">
        <v>832</v>
      </c>
      <c r="CK85" s="535"/>
      <c r="CL85" s="538" t="s">
        <v>832</v>
      </c>
      <c r="CM85" s="535"/>
      <c r="CN85" s="540" t="s">
        <v>832</v>
      </c>
      <c r="CO85" s="540"/>
      <c r="CP85" s="538" t="s">
        <v>832</v>
      </c>
      <c r="CQ85" s="540"/>
      <c r="CR85" s="538" t="s">
        <v>832</v>
      </c>
      <c r="CS85" s="542"/>
      <c r="CT85" s="538" t="s">
        <v>832</v>
      </c>
      <c r="CU85" s="535"/>
      <c r="CV85" s="540" t="s">
        <v>832</v>
      </c>
      <c r="CW85" s="535"/>
      <c r="CX85" s="408" t="s">
        <v>832</v>
      </c>
      <c r="CY85" s="535"/>
      <c r="CZ85" s="408" t="s">
        <v>832</v>
      </c>
      <c r="DA85" s="533"/>
      <c r="DB85" s="531"/>
      <c r="DC85" s="531"/>
      <c r="DD85" s="531"/>
      <c r="DE85" s="531"/>
      <c r="DF85" s="531"/>
      <c r="DG85" s="531"/>
      <c r="DH85" s="531"/>
      <c r="DI85" s="531"/>
      <c r="DJ85" s="531"/>
      <c r="DK85" s="531"/>
      <c r="DL85" s="531"/>
      <c r="DM85" s="531"/>
      <c r="DN85" s="531"/>
      <c r="DO85" s="531"/>
      <c r="DP85" s="531"/>
      <c r="DQ85" s="531"/>
      <c r="DR85" s="531"/>
    </row>
    <row r="86" spans="1:122" ht="18.75" x14ac:dyDescent="0.3">
      <c r="A86" s="325" t="s">
        <v>1433</v>
      </c>
      <c r="B86" s="326">
        <v>53</v>
      </c>
      <c r="C86" s="327" t="s">
        <v>1434</v>
      </c>
      <c r="D86" s="424" t="s">
        <v>834</v>
      </c>
      <c r="E86" s="328"/>
      <c r="F86" s="173"/>
      <c r="G86" s="173"/>
      <c r="H86" s="373" t="s">
        <v>834</v>
      </c>
      <c r="I86" s="427" t="s">
        <v>1435</v>
      </c>
      <c r="J86" s="173" t="s">
        <v>834</v>
      </c>
      <c r="K86" s="371" t="s">
        <v>1436</v>
      </c>
      <c r="L86" s="426" t="s">
        <v>834</v>
      </c>
      <c r="M86" s="427" t="s">
        <v>1437</v>
      </c>
      <c r="N86" s="173" t="s">
        <v>834</v>
      </c>
      <c r="O86" s="171"/>
      <c r="P86" s="445" t="s">
        <v>834</v>
      </c>
      <c r="Q86" s="427" t="s">
        <v>1438</v>
      </c>
      <c r="R86" s="374">
        <v>0.39800000000000002</v>
      </c>
      <c r="S86" s="168" t="s">
        <v>837</v>
      </c>
      <c r="T86" s="428" t="s">
        <v>834</v>
      </c>
      <c r="U86" s="376"/>
      <c r="V86" s="429" t="s">
        <v>834</v>
      </c>
      <c r="W86" s="377" t="s">
        <v>992</v>
      </c>
      <c r="X86" s="167" t="s">
        <v>834</v>
      </c>
      <c r="Y86" s="168" t="s">
        <v>856</v>
      </c>
      <c r="Z86" s="167">
        <v>4</v>
      </c>
      <c r="AA86" s="168"/>
      <c r="AB86" s="167" t="s">
        <v>834</v>
      </c>
      <c r="AC86" s="168"/>
      <c r="AD86" s="430" t="s">
        <v>834</v>
      </c>
      <c r="AE86" s="168"/>
      <c r="AF86" s="173" t="s">
        <v>834</v>
      </c>
      <c r="AG86" s="171"/>
      <c r="AH86" s="167">
        <v>6</v>
      </c>
      <c r="AI86" s="168"/>
      <c r="AJ86" s="373" t="s">
        <v>834</v>
      </c>
      <c r="AK86" s="431"/>
      <c r="AL86" s="373" t="s">
        <v>834</v>
      </c>
      <c r="AM86" s="168"/>
      <c r="AN86" s="173" t="s">
        <v>834</v>
      </c>
      <c r="AO86" s="171"/>
      <c r="AP86" s="432" t="s">
        <v>834</v>
      </c>
      <c r="AQ86" s="168"/>
      <c r="AR86" s="173" t="s">
        <v>834</v>
      </c>
      <c r="AS86" s="171"/>
      <c r="AT86" s="173" t="s">
        <v>834</v>
      </c>
      <c r="AU86" s="171"/>
      <c r="AV86" s="381" t="s">
        <v>834</v>
      </c>
      <c r="AW86" s="167"/>
      <c r="AX86" s="433" t="s">
        <v>834</v>
      </c>
      <c r="AY86" s="427"/>
      <c r="AZ86" s="167" t="s">
        <v>834</v>
      </c>
      <c r="BA86" s="427"/>
      <c r="BB86" s="164" t="s">
        <v>834</v>
      </c>
      <c r="BC86" s="167"/>
      <c r="BD86" s="464" t="s">
        <v>546</v>
      </c>
      <c r="BE86" s="427"/>
      <c r="BF86" s="384" t="s">
        <v>834</v>
      </c>
      <c r="BG86" s="168" t="s">
        <v>1439</v>
      </c>
      <c r="BH86" s="432" t="s">
        <v>834</v>
      </c>
      <c r="BI86" s="167"/>
      <c r="BJ86" s="167"/>
      <c r="BK86" s="167"/>
      <c r="BL86" s="167" t="s">
        <v>834</v>
      </c>
      <c r="BM86" s="167"/>
      <c r="BN86" s="173">
        <v>5.125</v>
      </c>
      <c r="BO86" s="171"/>
      <c r="BP86" s="435" t="s">
        <v>834</v>
      </c>
      <c r="BQ86" s="436" t="s">
        <v>1440</v>
      </c>
      <c r="BR86" s="167" t="s">
        <v>834</v>
      </c>
      <c r="BS86" s="167"/>
      <c r="BT86" s="167" t="s">
        <v>834</v>
      </c>
      <c r="BU86" s="167"/>
      <c r="BV86" s="441" t="s">
        <v>834</v>
      </c>
      <c r="BW86" s="168" t="s">
        <v>1441</v>
      </c>
      <c r="BX86" s="437" t="s">
        <v>834</v>
      </c>
      <c r="BY86" s="171"/>
      <c r="BZ86" s="432"/>
      <c r="CA86" s="168"/>
      <c r="CB86" s="167" t="s">
        <v>834</v>
      </c>
      <c r="CC86" s="167"/>
      <c r="CD86" s="173" t="s">
        <v>834</v>
      </c>
      <c r="CE86" s="171"/>
      <c r="CF86" s="167" t="s">
        <v>834</v>
      </c>
      <c r="CG86" s="168" t="s">
        <v>1442</v>
      </c>
      <c r="CH86" s="167">
        <v>4.5</v>
      </c>
      <c r="CI86" s="168"/>
      <c r="CJ86" s="167" t="s">
        <v>834</v>
      </c>
      <c r="CK86" s="168"/>
      <c r="CL86" s="385" t="s">
        <v>834</v>
      </c>
      <c r="CM86" s="461" t="s">
        <v>1443</v>
      </c>
      <c r="CN86" s="385" t="s">
        <v>834</v>
      </c>
      <c r="CO86" s="167"/>
      <c r="CP86" s="167" t="s">
        <v>834</v>
      </c>
      <c r="CQ86" s="167"/>
      <c r="CR86" s="373" t="s">
        <v>834</v>
      </c>
      <c r="CS86" s="373"/>
      <c r="CT86" s="432">
        <v>1.5</v>
      </c>
      <c r="CU86" s="168" t="s">
        <v>840</v>
      </c>
      <c r="CV86" s="432" t="s">
        <v>834</v>
      </c>
      <c r="CW86" s="168"/>
      <c r="CX86" s="168" t="s">
        <v>834</v>
      </c>
      <c r="CY86" s="168"/>
      <c r="CZ86" s="173" t="s">
        <v>834</v>
      </c>
      <c r="DA86" s="171"/>
      <c r="DB86" s="371" t="s">
        <v>546</v>
      </c>
      <c r="DC86" s="371">
        <f t="shared" ref="DC86:DC93" si="11">COUNT(D86:CZ86)</f>
        <v>6</v>
      </c>
      <c r="DD86" s="371"/>
      <c r="DE86" s="371"/>
      <c r="DF86" s="371"/>
      <c r="DG86" s="371"/>
      <c r="DH86" s="371"/>
      <c r="DI86" s="371"/>
      <c r="DJ86" s="371"/>
      <c r="DK86" s="371"/>
      <c r="DL86" s="371"/>
      <c r="DM86" s="371"/>
      <c r="DN86" s="371"/>
      <c r="DO86" s="371"/>
      <c r="DP86" s="371"/>
      <c r="DQ86" s="371"/>
      <c r="DR86" s="371"/>
    </row>
    <row r="87" spans="1:122" ht="18.75" x14ac:dyDescent="0.3">
      <c r="A87" s="325">
        <v>56174</v>
      </c>
      <c r="B87" s="326">
        <v>54</v>
      </c>
      <c r="C87" s="327" t="s">
        <v>1444</v>
      </c>
      <c r="D87" s="424" t="s">
        <v>834</v>
      </c>
      <c r="E87" s="328"/>
      <c r="F87" s="173"/>
      <c r="G87" s="173"/>
      <c r="H87" s="373">
        <v>6.5</v>
      </c>
      <c r="I87" s="427"/>
      <c r="J87" s="173" t="s">
        <v>834</v>
      </c>
      <c r="K87" s="371" t="s">
        <v>1445</v>
      </c>
      <c r="L87" s="426" t="s">
        <v>834</v>
      </c>
      <c r="M87" s="427"/>
      <c r="N87" s="173" t="s">
        <v>834</v>
      </c>
      <c r="O87" s="171"/>
      <c r="P87" s="445">
        <v>6.35</v>
      </c>
      <c r="Q87" s="427"/>
      <c r="R87" s="374">
        <v>0.39800000000000002</v>
      </c>
      <c r="S87" s="168" t="s">
        <v>837</v>
      </c>
      <c r="T87" s="428">
        <v>5.75</v>
      </c>
      <c r="U87" s="376" t="s">
        <v>1446</v>
      </c>
      <c r="V87" s="429" t="s">
        <v>834</v>
      </c>
      <c r="W87" s="377" t="s">
        <v>992</v>
      </c>
      <c r="X87" s="167" t="s">
        <v>834</v>
      </c>
      <c r="Y87" s="168" t="s">
        <v>856</v>
      </c>
      <c r="Z87" s="167">
        <v>4</v>
      </c>
      <c r="AA87" s="168"/>
      <c r="AB87" s="167" t="s">
        <v>834</v>
      </c>
      <c r="AC87" s="168"/>
      <c r="AD87" s="430" t="s">
        <v>834</v>
      </c>
      <c r="AE87" s="168"/>
      <c r="AF87" s="173" t="s">
        <v>834</v>
      </c>
      <c r="AG87" s="171"/>
      <c r="AH87" s="167">
        <v>6</v>
      </c>
      <c r="AI87" s="168"/>
      <c r="AJ87" s="373" t="s">
        <v>834</v>
      </c>
      <c r="AK87" s="431"/>
      <c r="AL87" s="167" t="s">
        <v>834</v>
      </c>
      <c r="AM87" s="168"/>
      <c r="AN87" s="173">
        <v>5</v>
      </c>
      <c r="AO87" s="171"/>
      <c r="AP87" s="432" t="s">
        <v>834</v>
      </c>
      <c r="AQ87" s="168"/>
      <c r="AR87" s="173" t="s">
        <v>834</v>
      </c>
      <c r="AS87" s="171" t="s">
        <v>1447</v>
      </c>
      <c r="AT87" s="173" t="s">
        <v>834</v>
      </c>
      <c r="AU87" s="171"/>
      <c r="AV87" s="381" t="s">
        <v>834</v>
      </c>
      <c r="AW87" s="167"/>
      <c r="AX87" s="433">
        <v>6.875</v>
      </c>
      <c r="AY87" s="427"/>
      <c r="AZ87" s="167" t="s">
        <v>834</v>
      </c>
      <c r="BA87" s="427"/>
      <c r="BB87" s="164" t="s">
        <v>834</v>
      </c>
      <c r="BC87" s="167"/>
      <c r="BD87" s="464"/>
      <c r="BE87" s="427"/>
      <c r="BF87" s="384">
        <v>5.5</v>
      </c>
      <c r="BG87" s="168" t="s">
        <v>1448</v>
      </c>
      <c r="BH87" s="432" t="s">
        <v>834</v>
      </c>
      <c r="BI87" s="167"/>
      <c r="BJ87" s="167"/>
      <c r="BK87" s="167"/>
      <c r="BL87" s="167">
        <v>6.875</v>
      </c>
      <c r="BM87" s="167"/>
      <c r="BN87" s="173">
        <v>5.125</v>
      </c>
      <c r="BO87" s="171"/>
      <c r="BP87" s="435">
        <v>4</v>
      </c>
      <c r="BQ87" s="436"/>
      <c r="BR87" s="167" t="s">
        <v>834</v>
      </c>
      <c r="BS87" s="168" t="s">
        <v>1449</v>
      </c>
      <c r="BT87" s="167" t="s">
        <v>834</v>
      </c>
      <c r="BU87" s="167"/>
      <c r="BV87" s="429">
        <v>5.75</v>
      </c>
      <c r="BW87" s="168" t="s">
        <v>1450</v>
      </c>
      <c r="BX87" s="437" t="s">
        <v>834</v>
      </c>
      <c r="BY87" s="171"/>
      <c r="BZ87" s="432"/>
      <c r="CA87" s="168"/>
      <c r="CB87" s="167">
        <v>6</v>
      </c>
      <c r="CC87" s="167"/>
      <c r="CD87" s="173" t="s">
        <v>834</v>
      </c>
      <c r="CE87" s="171"/>
      <c r="CF87" s="167" t="s">
        <v>834</v>
      </c>
      <c r="CG87" s="476" t="s">
        <v>1451</v>
      </c>
      <c r="CH87" s="167">
        <v>4.5</v>
      </c>
      <c r="CI87" s="168"/>
      <c r="CJ87" s="167">
        <v>7</v>
      </c>
      <c r="CK87" s="444" t="s">
        <v>1452</v>
      </c>
      <c r="CL87" s="385">
        <v>6.25</v>
      </c>
      <c r="CM87" s="168"/>
      <c r="CN87" s="385" t="s">
        <v>834</v>
      </c>
      <c r="CO87" s="168" t="s">
        <v>1453</v>
      </c>
      <c r="CP87" s="167" t="s">
        <v>834</v>
      </c>
      <c r="CQ87" s="167"/>
      <c r="CR87" s="373" t="s">
        <v>834</v>
      </c>
      <c r="CS87" s="373"/>
      <c r="CT87" s="432">
        <v>1.5</v>
      </c>
      <c r="CU87" s="168" t="s">
        <v>840</v>
      </c>
      <c r="CV87" s="432">
        <v>6</v>
      </c>
      <c r="CW87" s="168"/>
      <c r="CX87" s="168">
        <v>5</v>
      </c>
      <c r="CY87" s="168"/>
      <c r="CZ87" s="173" t="s">
        <v>834</v>
      </c>
      <c r="DA87" s="171" t="s">
        <v>1454</v>
      </c>
      <c r="DB87" s="371" t="s">
        <v>546</v>
      </c>
      <c r="DC87" s="371">
        <f t="shared" si="11"/>
        <v>20</v>
      </c>
      <c r="DD87" s="371"/>
      <c r="DE87" s="371"/>
      <c r="DF87" s="371"/>
      <c r="DG87" s="371"/>
      <c r="DH87" s="371"/>
      <c r="DI87" s="371"/>
      <c r="DJ87" s="371"/>
      <c r="DK87" s="371"/>
      <c r="DL87" s="371"/>
      <c r="DM87" s="371"/>
      <c r="DN87" s="371"/>
      <c r="DO87" s="371"/>
      <c r="DP87" s="371"/>
      <c r="DQ87" s="371"/>
      <c r="DR87" s="371"/>
    </row>
    <row r="88" spans="1:122" ht="18.75" x14ac:dyDescent="0.3">
      <c r="A88" s="325">
        <v>81299</v>
      </c>
      <c r="B88" s="326">
        <v>55</v>
      </c>
      <c r="C88" s="327" t="s">
        <v>1455</v>
      </c>
      <c r="D88" s="424" t="s">
        <v>834</v>
      </c>
      <c r="E88" s="328"/>
      <c r="F88" s="173"/>
      <c r="G88" s="173"/>
      <c r="H88" s="373" t="s">
        <v>834</v>
      </c>
      <c r="I88" s="427"/>
      <c r="J88" s="173" t="s">
        <v>834</v>
      </c>
      <c r="K88" s="371"/>
      <c r="L88" s="426" t="s">
        <v>834</v>
      </c>
      <c r="M88" s="427"/>
      <c r="N88" s="173" t="s">
        <v>834</v>
      </c>
      <c r="O88" s="171"/>
      <c r="P88" s="445">
        <v>6.35</v>
      </c>
      <c r="Q88" s="427"/>
      <c r="R88" s="374">
        <v>0.39800000000000002</v>
      </c>
      <c r="S88" s="168" t="s">
        <v>837</v>
      </c>
      <c r="T88" s="428" t="s">
        <v>834</v>
      </c>
      <c r="U88" s="376"/>
      <c r="V88" s="429" t="s">
        <v>834</v>
      </c>
      <c r="W88" s="377" t="s">
        <v>992</v>
      </c>
      <c r="X88" s="167" t="s">
        <v>834</v>
      </c>
      <c r="Y88" s="168" t="s">
        <v>856</v>
      </c>
      <c r="Z88" s="167">
        <v>4</v>
      </c>
      <c r="AA88" s="168"/>
      <c r="AB88" s="167" t="s">
        <v>834</v>
      </c>
      <c r="AC88" s="168"/>
      <c r="AD88" s="430" t="s">
        <v>834</v>
      </c>
      <c r="AE88" s="168"/>
      <c r="AF88" s="173" t="s">
        <v>834</v>
      </c>
      <c r="AG88" s="171"/>
      <c r="AH88" s="167">
        <v>6</v>
      </c>
      <c r="AI88" s="168"/>
      <c r="AJ88" s="373" t="s">
        <v>834</v>
      </c>
      <c r="AK88" s="431"/>
      <c r="AL88" s="167" t="s">
        <v>834</v>
      </c>
      <c r="AM88" s="168"/>
      <c r="AN88" s="173" t="s">
        <v>834</v>
      </c>
      <c r="AO88" s="171"/>
      <c r="AP88" s="432" t="s">
        <v>834</v>
      </c>
      <c r="AQ88" s="168"/>
      <c r="AR88" s="173" t="s">
        <v>834</v>
      </c>
      <c r="AS88" s="171"/>
      <c r="AT88" s="173" t="s">
        <v>834</v>
      </c>
      <c r="AU88" s="171"/>
      <c r="AV88" s="381" t="s">
        <v>834</v>
      </c>
      <c r="AW88" s="167"/>
      <c r="AX88" s="433" t="s">
        <v>834</v>
      </c>
      <c r="AY88" s="427"/>
      <c r="AZ88" s="167" t="s">
        <v>834</v>
      </c>
      <c r="BA88" s="427"/>
      <c r="BB88" s="164" t="s">
        <v>834</v>
      </c>
      <c r="BC88" s="167"/>
      <c r="BD88" s="464"/>
      <c r="BE88" s="427"/>
      <c r="BF88" s="384" t="s">
        <v>834</v>
      </c>
      <c r="BG88" s="168"/>
      <c r="BH88" s="432" t="s">
        <v>834</v>
      </c>
      <c r="BI88" s="167"/>
      <c r="BJ88" s="167"/>
      <c r="BK88" s="167"/>
      <c r="BL88" s="167" t="s">
        <v>834</v>
      </c>
      <c r="BM88" s="167"/>
      <c r="BN88" s="173">
        <v>5.125</v>
      </c>
      <c r="BO88" s="171"/>
      <c r="BP88" s="435" t="s">
        <v>834</v>
      </c>
      <c r="BQ88" s="436"/>
      <c r="BR88" s="167" t="s">
        <v>834</v>
      </c>
      <c r="BS88" s="167"/>
      <c r="BT88" s="167" t="s">
        <v>834</v>
      </c>
      <c r="BU88" s="167"/>
      <c r="BV88" s="167" t="s">
        <v>834</v>
      </c>
      <c r="BW88" s="167"/>
      <c r="BX88" s="437" t="s">
        <v>834</v>
      </c>
      <c r="BY88" s="171"/>
      <c r="BZ88" s="432"/>
      <c r="CA88" s="168"/>
      <c r="CB88" s="167" t="s">
        <v>834</v>
      </c>
      <c r="CC88" s="167"/>
      <c r="CD88" s="173" t="s">
        <v>834</v>
      </c>
      <c r="CE88" s="171"/>
      <c r="CF88" s="167" t="s">
        <v>834</v>
      </c>
      <c r="CG88" s="476" t="s">
        <v>1429</v>
      </c>
      <c r="CH88" s="167">
        <v>4.5</v>
      </c>
      <c r="CI88" s="168"/>
      <c r="CJ88" s="167" t="s">
        <v>834</v>
      </c>
      <c r="CK88" s="168"/>
      <c r="CL88" s="445" t="s">
        <v>834</v>
      </c>
      <c r="CM88" s="543" t="s">
        <v>1456</v>
      </c>
      <c r="CN88" s="385" t="s">
        <v>834</v>
      </c>
      <c r="CO88" s="167"/>
      <c r="CP88" s="167" t="s">
        <v>834</v>
      </c>
      <c r="CQ88" s="167"/>
      <c r="CR88" s="373" t="s">
        <v>834</v>
      </c>
      <c r="CS88" s="373"/>
      <c r="CT88" s="432">
        <v>6.5</v>
      </c>
      <c r="CU88" s="168" t="s">
        <v>938</v>
      </c>
      <c r="CV88" s="432">
        <v>6</v>
      </c>
      <c r="CW88" s="168"/>
      <c r="CX88" s="168" t="s">
        <v>834</v>
      </c>
      <c r="CY88" s="168"/>
      <c r="CZ88" s="173" t="s">
        <v>834</v>
      </c>
      <c r="DA88" s="171"/>
      <c r="DB88" s="371" t="s">
        <v>546</v>
      </c>
      <c r="DC88" s="371">
        <f t="shared" si="11"/>
        <v>8</v>
      </c>
      <c r="DD88" s="371"/>
      <c r="DE88" s="371"/>
      <c r="DF88" s="371"/>
      <c r="DG88" s="371"/>
      <c r="DH88" s="371"/>
      <c r="DI88" s="371"/>
      <c r="DJ88" s="371"/>
      <c r="DK88" s="371"/>
      <c r="DL88" s="371"/>
      <c r="DM88" s="371"/>
      <c r="DN88" s="371"/>
      <c r="DO88" s="371"/>
      <c r="DP88" s="371"/>
      <c r="DQ88" s="371"/>
      <c r="DR88" s="371"/>
    </row>
    <row r="89" spans="1:122" ht="18.75" x14ac:dyDescent="0.3">
      <c r="A89" s="325">
        <v>523930</v>
      </c>
      <c r="B89" s="326">
        <v>56</v>
      </c>
      <c r="C89" s="327" t="s">
        <v>1457</v>
      </c>
      <c r="D89" s="424" t="s">
        <v>834</v>
      </c>
      <c r="E89" s="328"/>
      <c r="F89" s="173"/>
      <c r="G89" s="173"/>
      <c r="H89" s="373" t="s">
        <v>834</v>
      </c>
      <c r="I89" s="427"/>
      <c r="J89" s="173" t="s">
        <v>834</v>
      </c>
      <c r="K89" s="371"/>
      <c r="L89" s="426" t="s">
        <v>834</v>
      </c>
      <c r="M89" s="427"/>
      <c r="N89" s="173" t="s">
        <v>834</v>
      </c>
      <c r="O89" s="171"/>
      <c r="P89" s="445">
        <v>6.35</v>
      </c>
      <c r="Q89" s="427"/>
      <c r="R89" s="374">
        <v>0.39800000000000002</v>
      </c>
      <c r="S89" s="168" t="s">
        <v>837</v>
      </c>
      <c r="T89" s="428" t="s">
        <v>834</v>
      </c>
      <c r="U89" s="376"/>
      <c r="V89" s="429" t="s">
        <v>834</v>
      </c>
      <c r="W89" s="377" t="s">
        <v>992</v>
      </c>
      <c r="X89" s="167" t="s">
        <v>834</v>
      </c>
      <c r="Y89" s="168" t="s">
        <v>856</v>
      </c>
      <c r="Z89" s="167">
        <v>4</v>
      </c>
      <c r="AA89" s="168"/>
      <c r="AB89" s="167" t="s">
        <v>834</v>
      </c>
      <c r="AC89" s="168"/>
      <c r="AD89" s="430" t="s">
        <v>834</v>
      </c>
      <c r="AE89" s="168"/>
      <c r="AF89" s="173" t="s">
        <v>834</v>
      </c>
      <c r="AG89" s="171"/>
      <c r="AH89" s="167" t="s">
        <v>834</v>
      </c>
      <c r="AI89" s="168"/>
      <c r="AJ89" s="373" t="s">
        <v>834</v>
      </c>
      <c r="AK89" s="431"/>
      <c r="AL89" s="167" t="s">
        <v>834</v>
      </c>
      <c r="AM89" s="168"/>
      <c r="AN89" s="173" t="s">
        <v>834</v>
      </c>
      <c r="AO89" s="171"/>
      <c r="AP89" s="432" t="s">
        <v>834</v>
      </c>
      <c r="AQ89" s="168"/>
      <c r="AR89" s="173" t="s">
        <v>834</v>
      </c>
      <c r="AS89" s="171"/>
      <c r="AT89" s="173" t="s">
        <v>834</v>
      </c>
      <c r="AU89" s="171"/>
      <c r="AV89" s="381" t="s">
        <v>834</v>
      </c>
      <c r="AW89" s="167"/>
      <c r="AX89" s="433" t="s">
        <v>834</v>
      </c>
      <c r="AY89" s="427"/>
      <c r="AZ89" s="167" t="s">
        <v>834</v>
      </c>
      <c r="BA89" s="427"/>
      <c r="BB89" s="164" t="s">
        <v>834</v>
      </c>
      <c r="BC89" s="167"/>
      <c r="BD89" s="464"/>
      <c r="BE89" s="427"/>
      <c r="BF89" s="384" t="s">
        <v>834</v>
      </c>
      <c r="BG89" s="168"/>
      <c r="BH89" s="432" t="s">
        <v>834</v>
      </c>
      <c r="BI89" s="167"/>
      <c r="BJ89" s="167"/>
      <c r="BK89" s="167"/>
      <c r="BL89" s="167" t="s">
        <v>834</v>
      </c>
      <c r="BM89" s="167"/>
      <c r="BN89" s="173">
        <v>5.125</v>
      </c>
      <c r="BO89" s="171" t="s">
        <v>1458</v>
      </c>
      <c r="BP89" s="435" t="s">
        <v>834</v>
      </c>
      <c r="BQ89" s="436"/>
      <c r="BR89" s="167" t="s">
        <v>834</v>
      </c>
      <c r="BS89" s="167"/>
      <c r="BT89" s="167" t="s">
        <v>834</v>
      </c>
      <c r="BU89" s="167"/>
      <c r="BV89" s="167" t="s">
        <v>834</v>
      </c>
      <c r="BW89" s="167"/>
      <c r="BX89" s="437" t="s">
        <v>834</v>
      </c>
      <c r="BY89" s="171"/>
      <c r="BZ89" s="432"/>
      <c r="CA89" s="168"/>
      <c r="CB89" s="167" t="s">
        <v>834</v>
      </c>
      <c r="CC89" s="167"/>
      <c r="CD89" s="173" t="s">
        <v>834</v>
      </c>
      <c r="CE89" s="171"/>
      <c r="CF89" s="167" t="s">
        <v>834</v>
      </c>
      <c r="CG89" s="476" t="s">
        <v>1429</v>
      </c>
      <c r="CH89" s="167">
        <v>4.5</v>
      </c>
      <c r="CI89" s="168"/>
      <c r="CJ89" s="167" t="s">
        <v>834</v>
      </c>
      <c r="CK89" s="168"/>
      <c r="CL89" s="385" t="s">
        <v>834</v>
      </c>
      <c r="CM89" s="168"/>
      <c r="CN89" s="385" t="s">
        <v>834</v>
      </c>
      <c r="CO89" s="167"/>
      <c r="CP89" s="167" t="s">
        <v>834</v>
      </c>
      <c r="CQ89" s="167"/>
      <c r="CR89" s="373" t="s">
        <v>834</v>
      </c>
      <c r="CS89" s="373"/>
      <c r="CT89" s="455">
        <v>1.5</v>
      </c>
      <c r="CU89" s="168" t="s">
        <v>840</v>
      </c>
      <c r="CV89" s="432">
        <v>6</v>
      </c>
      <c r="CW89" s="168"/>
      <c r="CX89" s="168" t="s">
        <v>834</v>
      </c>
      <c r="CY89" s="168"/>
      <c r="CZ89" s="173" t="s">
        <v>834</v>
      </c>
      <c r="DA89" s="171"/>
      <c r="DB89" s="371" t="s">
        <v>546</v>
      </c>
      <c r="DC89" s="371">
        <f t="shared" si="11"/>
        <v>7</v>
      </c>
      <c r="DD89" s="371"/>
      <c r="DE89" s="371"/>
      <c r="DF89" s="371"/>
      <c r="DG89" s="371"/>
      <c r="DH89" s="371"/>
      <c r="DI89" s="371"/>
      <c r="DJ89" s="371"/>
      <c r="DK89" s="371"/>
      <c r="DL89" s="371"/>
      <c r="DM89" s="371"/>
      <c r="DN89" s="371"/>
      <c r="DO89" s="371"/>
      <c r="DP89" s="371"/>
      <c r="DQ89" s="371"/>
      <c r="DR89" s="371"/>
    </row>
    <row r="90" spans="1:122" ht="18.75" x14ac:dyDescent="0.3">
      <c r="A90" s="325">
        <v>812331</v>
      </c>
      <c r="B90" s="326">
        <v>57</v>
      </c>
      <c r="C90" s="327" t="s">
        <v>1459</v>
      </c>
      <c r="D90" s="424" t="s">
        <v>834</v>
      </c>
      <c r="E90" s="328" t="s">
        <v>1460</v>
      </c>
      <c r="F90" s="173" t="s">
        <v>546</v>
      </c>
      <c r="G90" s="173"/>
      <c r="H90" s="373" t="s">
        <v>834</v>
      </c>
      <c r="I90" s="427" t="s">
        <v>1435</v>
      </c>
      <c r="J90" s="173">
        <v>5.6</v>
      </c>
      <c r="K90" s="371" t="s">
        <v>1461</v>
      </c>
      <c r="L90" s="426" t="s">
        <v>834</v>
      </c>
      <c r="M90" s="427" t="s">
        <v>1462</v>
      </c>
      <c r="N90" s="173" t="s">
        <v>834</v>
      </c>
      <c r="O90" s="171"/>
      <c r="P90" s="445" t="s">
        <v>834</v>
      </c>
      <c r="Q90" s="427"/>
      <c r="R90" s="374">
        <v>0.39800000000000002</v>
      </c>
      <c r="S90" s="168" t="s">
        <v>837</v>
      </c>
      <c r="T90" s="428" t="s">
        <v>834</v>
      </c>
      <c r="U90" s="376"/>
      <c r="V90" s="429" t="s">
        <v>834</v>
      </c>
      <c r="W90" s="377" t="s">
        <v>992</v>
      </c>
      <c r="X90" s="167">
        <v>4</v>
      </c>
      <c r="Y90" s="168"/>
      <c r="Z90" s="167">
        <v>4</v>
      </c>
      <c r="AA90" s="168"/>
      <c r="AB90" s="167" t="s">
        <v>834</v>
      </c>
      <c r="AC90" s="168"/>
      <c r="AD90" s="430" t="s">
        <v>834</v>
      </c>
      <c r="AE90" s="168"/>
      <c r="AF90" s="173">
        <v>7</v>
      </c>
      <c r="AG90" s="171" t="s">
        <v>1463</v>
      </c>
      <c r="AH90" s="167">
        <v>6</v>
      </c>
      <c r="AI90" s="168"/>
      <c r="AJ90" s="373">
        <v>6.5</v>
      </c>
      <c r="AK90" s="431" t="s">
        <v>863</v>
      </c>
      <c r="AL90" s="167" t="s">
        <v>834</v>
      </c>
      <c r="AM90" s="168"/>
      <c r="AN90" s="173">
        <v>5</v>
      </c>
      <c r="AO90" s="171"/>
      <c r="AP90" s="432" t="s">
        <v>834</v>
      </c>
      <c r="AQ90" s="168"/>
      <c r="AR90" s="173" t="s">
        <v>834</v>
      </c>
      <c r="AS90" s="171" t="s">
        <v>1464</v>
      </c>
      <c r="AT90" s="173" t="s">
        <v>834</v>
      </c>
      <c r="AU90" s="171"/>
      <c r="AV90" s="381" t="s">
        <v>834</v>
      </c>
      <c r="AW90" s="167"/>
      <c r="AX90" s="433" t="s">
        <v>834</v>
      </c>
      <c r="AY90" s="427"/>
      <c r="AZ90" s="167">
        <v>7</v>
      </c>
      <c r="BA90" s="427"/>
      <c r="BB90" s="164" t="s">
        <v>834</v>
      </c>
      <c r="BC90" s="168" t="s">
        <v>1465</v>
      </c>
      <c r="BD90" s="464" t="s">
        <v>546</v>
      </c>
      <c r="BE90" s="427"/>
      <c r="BF90" s="384">
        <v>5.5</v>
      </c>
      <c r="BG90" s="168"/>
      <c r="BH90" s="432" t="s">
        <v>834</v>
      </c>
      <c r="BI90" s="168"/>
      <c r="BJ90" s="167" t="s">
        <v>546</v>
      </c>
      <c r="BK90" s="167"/>
      <c r="BL90" s="167" t="s">
        <v>834</v>
      </c>
      <c r="BM90" s="167"/>
      <c r="BN90" s="173">
        <v>5.125</v>
      </c>
      <c r="BO90" s="171"/>
      <c r="BP90" s="435" t="s">
        <v>834</v>
      </c>
      <c r="BQ90" s="436"/>
      <c r="BR90" s="385">
        <v>4.75</v>
      </c>
      <c r="BS90" s="168" t="s">
        <v>1466</v>
      </c>
      <c r="BT90" s="167" t="s">
        <v>834</v>
      </c>
      <c r="BU90" s="167"/>
      <c r="BV90" s="429">
        <v>5.75</v>
      </c>
      <c r="BW90" s="453"/>
      <c r="BX90" s="437" t="s">
        <v>834</v>
      </c>
      <c r="BY90" s="171"/>
      <c r="BZ90" s="432"/>
      <c r="CA90" s="168"/>
      <c r="CB90" s="167" t="s">
        <v>834</v>
      </c>
      <c r="CC90" s="167"/>
      <c r="CD90" s="173" t="s">
        <v>834</v>
      </c>
      <c r="CE90" s="171"/>
      <c r="CF90" s="167">
        <v>6</v>
      </c>
      <c r="CG90" s="168" t="s">
        <v>1467</v>
      </c>
      <c r="CH90" s="167">
        <v>4.5</v>
      </c>
      <c r="CI90" s="168"/>
      <c r="CJ90" s="167">
        <v>7</v>
      </c>
      <c r="CK90" s="175" t="s">
        <v>1468</v>
      </c>
      <c r="CL90" s="385">
        <v>6.25</v>
      </c>
      <c r="CM90" s="168"/>
      <c r="CN90" s="385">
        <v>4.7</v>
      </c>
      <c r="CO90" s="167"/>
      <c r="CP90" s="167" t="s">
        <v>834</v>
      </c>
      <c r="CQ90" s="167"/>
      <c r="CR90" s="373">
        <v>5.3</v>
      </c>
      <c r="CS90" s="454" t="s">
        <v>1469</v>
      </c>
      <c r="CT90" s="432">
        <v>6.5</v>
      </c>
      <c r="CU90" s="168" t="s">
        <v>938</v>
      </c>
      <c r="CV90" s="432">
        <v>6</v>
      </c>
      <c r="CW90" s="168"/>
      <c r="CX90" s="168" t="s">
        <v>834</v>
      </c>
      <c r="CY90" s="168"/>
      <c r="CZ90" s="173">
        <v>4</v>
      </c>
      <c r="DA90" s="171" t="s">
        <v>1470</v>
      </c>
      <c r="DB90" s="371" t="s">
        <v>546</v>
      </c>
      <c r="DC90" s="371">
        <f t="shared" si="11"/>
        <v>22</v>
      </c>
      <c r="DD90" s="371"/>
      <c r="DE90" s="371"/>
      <c r="DF90" s="371"/>
      <c r="DG90" s="371"/>
      <c r="DH90" s="371"/>
      <c r="DI90" s="371"/>
      <c r="DJ90" s="371"/>
      <c r="DK90" s="371"/>
      <c r="DL90" s="371"/>
      <c r="DM90" s="371"/>
      <c r="DN90" s="371"/>
      <c r="DO90" s="371"/>
      <c r="DP90" s="371"/>
      <c r="DQ90" s="371"/>
      <c r="DR90" s="371"/>
    </row>
    <row r="91" spans="1:122" ht="18.75" x14ac:dyDescent="0.3">
      <c r="A91" s="325">
        <v>81221</v>
      </c>
      <c r="B91" s="326">
        <v>58</v>
      </c>
      <c r="C91" s="327" t="s">
        <v>1471</v>
      </c>
      <c r="D91" s="424" t="s">
        <v>834</v>
      </c>
      <c r="E91" s="328"/>
      <c r="F91" s="173" t="s">
        <v>546</v>
      </c>
      <c r="G91" s="173"/>
      <c r="H91" s="373" t="s">
        <v>834</v>
      </c>
      <c r="I91" s="427" t="s">
        <v>1435</v>
      </c>
      <c r="J91" s="173" t="s">
        <v>834</v>
      </c>
      <c r="K91" s="371" t="s">
        <v>1472</v>
      </c>
      <c r="L91" s="426" t="s">
        <v>834</v>
      </c>
      <c r="M91" s="427" t="s">
        <v>1473</v>
      </c>
      <c r="N91" s="173" t="s">
        <v>834</v>
      </c>
      <c r="O91" s="171"/>
      <c r="P91" s="445" t="s">
        <v>834</v>
      </c>
      <c r="Q91" s="427" t="s">
        <v>1474</v>
      </c>
      <c r="R91" s="374">
        <v>0.39800000000000002</v>
      </c>
      <c r="S91" s="168" t="s">
        <v>837</v>
      </c>
      <c r="T91" s="428">
        <v>5.75</v>
      </c>
      <c r="U91" s="376" t="s">
        <v>1475</v>
      </c>
      <c r="V91" s="429" t="s">
        <v>834</v>
      </c>
      <c r="W91" s="377" t="s">
        <v>992</v>
      </c>
      <c r="X91" s="167">
        <v>4</v>
      </c>
      <c r="Y91" s="168" t="s">
        <v>1476</v>
      </c>
      <c r="Z91" s="167">
        <v>4</v>
      </c>
      <c r="AA91" s="168" t="s">
        <v>1477</v>
      </c>
      <c r="AB91" s="167" t="s">
        <v>834</v>
      </c>
      <c r="AC91" s="168"/>
      <c r="AD91" s="430" t="s">
        <v>834</v>
      </c>
      <c r="AE91" s="168"/>
      <c r="AF91" s="173">
        <v>7</v>
      </c>
      <c r="AG91" s="171" t="s">
        <v>1463</v>
      </c>
      <c r="AH91" s="373" t="s">
        <v>834</v>
      </c>
      <c r="AI91" s="453" t="s">
        <v>1478</v>
      </c>
      <c r="AJ91" s="425">
        <v>6.5</v>
      </c>
      <c r="AK91" s="431" t="s">
        <v>1479</v>
      </c>
      <c r="AL91" s="167" t="s">
        <v>834</v>
      </c>
      <c r="AM91" s="168"/>
      <c r="AN91" s="173">
        <v>5</v>
      </c>
      <c r="AO91" s="171" t="s">
        <v>1480</v>
      </c>
      <c r="AP91" s="432" t="s">
        <v>834</v>
      </c>
      <c r="AQ91" s="168"/>
      <c r="AR91" s="173" t="s">
        <v>834</v>
      </c>
      <c r="AS91" s="171"/>
      <c r="AT91" s="173" t="s">
        <v>834</v>
      </c>
      <c r="AU91" s="171"/>
      <c r="AV91" s="458" t="s">
        <v>834</v>
      </c>
      <c r="AW91" s="168" t="s">
        <v>1481</v>
      </c>
      <c r="AX91" s="433" t="s">
        <v>834</v>
      </c>
      <c r="AY91" s="427"/>
      <c r="AZ91" s="167" t="s">
        <v>834</v>
      </c>
      <c r="BA91" s="427"/>
      <c r="BB91" s="164" t="s">
        <v>834</v>
      </c>
      <c r="BC91" s="168"/>
      <c r="BD91" s="464" t="s">
        <v>546</v>
      </c>
      <c r="BE91" s="427"/>
      <c r="BF91" s="384" t="s">
        <v>834</v>
      </c>
      <c r="BG91" s="168" t="s">
        <v>1482</v>
      </c>
      <c r="BH91" s="432" t="s">
        <v>834</v>
      </c>
      <c r="BI91" s="168"/>
      <c r="BJ91" s="167" t="s">
        <v>546</v>
      </c>
      <c r="BK91" s="167"/>
      <c r="BL91" s="167" t="s">
        <v>834</v>
      </c>
      <c r="BM91" s="168" t="s">
        <v>1483</v>
      </c>
      <c r="BN91" s="173">
        <v>5.125</v>
      </c>
      <c r="BO91" s="171" t="s">
        <v>1484</v>
      </c>
      <c r="BP91" s="435" t="s">
        <v>834</v>
      </c>
      <c r="BQ91" s="436"/>
      <c r="BR91" s="167" t="s">
        <v>834</v>
      </c>
      <c r="BS91" s="168" t="s">
        <v>1485</v>
      </c>
      <c r="BT91" s="167" t="s">
        <v>834</v>
      </c>
      <c r="BU91" s="168"/>
      <c r="BV91" s="167" t="s">
        <v>834</v>
      </c>
      <c r="BW91" s="168" t="s">
        <v>1486</v>
      </c>
      <c r="BX91" s="437" t="s">
        <v>834</v>
      </c>
      <c r="BY91" s="171" t="s">
        <v>1487</v>
      </c>
      <c r="BZ91" s="432" t="s">
        <v>546</v>
      </c>
      <c r="CA91" s="168"/>
      <c r="CB91" s="167" t="s">
        <v>834</v>
      </c>
      <c r="CC91" s="168"/>
      <c r="CD91" s="173" t="s">
        <v>834</v>
      </c>
      <c r="CE91" s="171"/>
      <c r="CF91" s="167">
        <v>6</v>
      </c>
      <c r="CG91" s="175" t="s">
        <v>1488</v>
      </c>
      <c r="CH91" s="167">
        <v>4.5</v>
      </c>
      <c r="CI91" s="168"/>
      <c r="CJ91" s="167" t="s">
        <v>834</v>
      </c>
      <c r="CK91" s="444" t="s">
        <v>1489</v>
      </c>
      <c r="CL91" s="385" t="s">
        <v>834</v>
      </c>
      <c r="CM91" s="168"/>
      <c r="CN91" s="385">
        <v>4.7</v>
      </c>
      <c r="CO91" s="168" t="s">
        <v>1490</v>
      </c>
      <c r="CP91" s="373" t="s">
        <v>834</v>
      </c>
      <c r="CQ91" s="168" t="s">
        <v>1491</v>
      </c>
      <c r="CR91" s="373" t="s">
        <v>834</v>
      </c>
      <c r="CS91" s="427" t="s">
        <v>1492</v>
      </c>
      <c r="CT91" s="432">
        <v>1.5</v>
      </c>
      <c r="CU91" s="168" t="s">
        <v>840</v>
      </c>
      <c r="CV91" s="442">
        <v>6</v>
      </c>
      <c r="CW91" s="168" t="s">
        <v>1493</v>
      </c>
      <c r="CX91" s="168" t="s">
        <v>834</v>
      </c>
      <c r="CY91" s="168" t="s">
        <v>1494</v>
      </c>
      <c r="CZ91" s="173" t="s">
        <v>834</v>
      </c>
      <c r="DA91" s="171" t="s">
        <v>1495</v>
      </c>
      <c r="DB91" s="371" t="s">
        <v>546</v>
      </c>
      <c r="DC91" s="371">
        <f t="shared" si="11"/>
        <v>13</v>
      </c>
      <c r="DD91" s="371"/>
      <c r="DE91" s="371"/>
      <c r="DF91" s="371"/>
      <c r="DG91" s="371"/>
      <c r="DH91" s="371"/>
      <c r="DI91" s="371"/>
      <c r="DJ91" s="371"/>
      <c r="DK91" s="371"/>
      <c r="DL91" s="371"/>
      <c r="DM91" s="371"/>
      <c r="DN91" s="371"/>
      <c r="DO91" s="371"/>
      <c r="DP91" s="371"/>
      <c r="DQ91" s="371"/>
      <c r="DR91" s="371"/>
    </row>
    <row r="92" spans="1:122" ht="18.75" x14ac:dyDescent="0.3">
      <c r="A92" s="325">
        <v>713990</v>
      </c>
      <c r="B92" s="326">
        <v>59</v>
      </c>
      <c r="C92" s="327" t="s">
        <v>1496</v>
      </c>
      <c r="D92" s="424" t="s">
        <v>834</v>
      </c>
      <c r="E92" s="328"/>
      <c r="F92" s="173"/>
      <c r="G92" s="173"/>
      <c r="H92" s="373" t="s">
        <v>834</v>
      </c>
      <c r="I92" s="427" t="s">
        <v>1435</v>
      </c>
      <c r="J92" s="173" t="s">
        <v>834</v>
      </c>
      <c r="K92" s="371"/>
      <c r="L92" s="426" t="s">
        <v>834</v>
      </c>
      <c r="M92" s="427"/>
      <c r="N92" s="173" t="s">
        <v>834</v>
      </c>
      <c r="O92" s="171"/>
      <c r="P92" s="445" t="s">
        <v>834</v>
      </c>
      <c r="Q92" s="427"/>
      <c r="R92" s="374">
        <v>0.39800000000000002</v>
      </c>
      <c r="S92" s="168" t="s">
        <v>837</v>
      </c>
      <c r="T92" s="428" t="s">
        <v>834</v>
      </c>
      <c r="U92" s="376"/>
      <c r="V92" s="429" t="s">
        <v>834</v>
      </c>
      <c r="W92" s="377" t="s">
        <v>992</v>
      </c>
      <c r="X92" s="167" t="s">
        <v>834</v>
      </c>
      <c r="Y92" s="168" t="s">
        <v>856</v>
      </c>
      <c r="Z92" s="167">
        <v>4</v>
      </c>
      <c r="AA92" s="168"/>
      <c r="AB92" s="167">
        <v>6</v>
      </c>
      <c r="AC92" s="168"/>
      <c r="AD92" s="430" t="s">
        <v>834</v>
      </c>
      <c r="AE92" s="168"/>
      <c r="AF92" s="173" t="s">
        <v>834</v>
      </c>
      <c r="AG92" s="171"/>
      <c r="AH92" s="544">
        <v>6</v>
      </c>
      <c r="AI92" s="453" t="s">
        <v>1497</v>
      </c>
      <c r="AJ92" s="373" t="s">
        <v>834</v>
      </c>
      <c r="AK92" s="431" t="s">
        <v>1498</v>
      </c>
      <c r="AL92" s="167" t="s">
        <v>834</v>
      </c>
      <c r="AM92" s="168"/>
      <c r="AN92" s="173" t="s">
        <v>834</v>
      </c>
      <c r="AO92" s="171"/>
      <c r="AP92" s="432" t="s">
        <v>834</v>
      </c>
      <c r="AQ92" s="168"/>
      <c r="AR92" s="173" t="s">
        <v>834</v>
      </c>
      <c r="AS92" s="171"/>
      <c r="AT92" s="173" t="s">
        <v>834</v>
      </c>
      <c r="AU92" s="171"/>
      <c r="AV92" s="381" t="s">
        <v>834</v>
      </c>
      <c r="AW92" s="167"/>
      <c r="AX92" s="433" t="s">
        <v>834</v>
      </c>
      <c r="AY92" s="427"/>
      <c r="AZ92" s="167" t="s">
        <v>834</v>
      </c>
      <c r="BA92" s="427"/>
      <c r="BB92" s="164" t="s">
        <v>834</v>
      </c>
      <c r="BC92" s="167"/>
      <c r="BD92" s="464"/>
      <c r="BE92" s="427"/>
      <c r="BF92" s="384" t="s">
        <v>834</v>
      </c>
      <c r="BG92" s="168" t="s">
        <v>1499</v>
      </c>
      <c r="BH92" s="432" t="s">
        <v>834</v>
      </c>
      <c r="BI92" s="167"/>
      <c r="BJ92" s="167"/>
      <c r="BK92" s="167"/>
      <c r="BL92" s="167" t="s">
        <v>834</v>
      </c>
      <c r="BM92" s="167"/>
      <c r="BN92" s="173">
        <v>5.125</v>
      </c>
      <c r="BO92" s="171"/>
      <c r="BP92" s="435" t="s">
        <v>834</v>
      </c>
      <c r="BQ92" s="436"/>
      <c r="BR92" s="167" t="s">
        <v>834</v>
      </c>
      <c r="BS92" s="167"/>
      <c r="BT92" s="167" t="s">
        <v>834</v>
      </c>
      <c r="BU92" s="167"/>
      <c r="BV92" s="167" t="s">
        <v>834</v>
      </c>
      <c r="BW92" s="167"/>
      <c r="BX92" s="437" t="s">
        <v>834</v>
      </c>
      <c r="BY92" s="171"/>
      <c r="BZ92" s="432"/>
      <c r="CA92" s="168"/>
      <c r="CB92" s="167" t="s">
        <v>834</v>
      </c>
      <c r="CC92" s="167"/>
      <c r="CD92" s="173" t="s">
        <v>834</v>
      </c>
      <c r="CE92" s="171"/>
      <c r="CF92" s="167" t="s">
        <v>834</v>
      </c>
      <c r="CG92" s="175"/>
      <c r="CH92" s="167">
        <v>4.5</v>
      </c>
      <c r="CI92" s="168"/>
      <c r="CJ92" s="167">
        <v>7</v>
      </c>
      <c r="CK92" s="168"/>
      <c r="CL92" s="385" t="s">
        <v>834</v>
      </c>
      <c r="CM92" s="168"/>
      <c r="CN92" s="385">
        <v>4.7</v>
      </c>
      <c r="CO92" s="167"/>
      <c r="CP92" s="167" t="s">
        <v>834</v>
      </c>
      <c r="CQ92" s="167"/>
      <c r="CR92" s="373" t="s">
        <v>834</v>
      </c>
      <c r="CS92" s="373"/>
      <c r="CT92" s="432">
        <v>6.5</v>
      </c>
      <c r="CU92" s="168" t="s">
        <v>938</v>
      </c>
      <c r="CV92" s="432">
        <v>6</v>
      </c>
      <c r="CW92" s="168"/>
      <c r="CX92" s="168">
        <v>5</v>
      </c>
      <c r="CY92" s="168" t="s">
        <v>1500</v>
      </c>
      <c r="CZ92" s="173" t="s">
        <v>834</v>
      </c>
      <c r="DA92" s="171" t="s">
        <v>1501</v>
      </c>
      <c r="DB92" s="371" t="s">
        <v>546</v>
      </c>
      <c r="DC92" s="371">
        <f t="shared" si="11"/>
        <v>11</v>
      </c>
      <c r="DD92" s="371"/>
      <c r="DE92" s="371"/>
      <c r="DF92" s="371"/>
      <c r="DG92" s="371"/>
      <c r="DH92" s="371"/>
      <c r="DI92" s="371"/>
      <c r="DJ92" s="371"/>
      <c r="DK92" s="371"/>
      <c r="DL92" s="371"/>
      <c r="DM92" s="371"/>
      <c r="DN92" s="371"/>
      <c r="DO92" s="371"/>
      <c r="DP92" s="371"/>
      <c r="DQ92" s="371"/>
      <c r="DR92" s="371"/>
    </row>
    <row r="93" spans="1:122" ht="18.75" x14ac:dyDescent="0.3">
      <c r="A93" s="325">
        <v>81149</v>
      </c>
      <c r="B93" s="326">
        <v>60</v>
      </c>
      <c r="C93" s="327" t="s">
        <v>1502</v>
      </c>
      <c r="D93" s="424" t="s">
        <v>834</v>
      </c>
      <c r="E93" s="328"/>
      <c r="F93" s="173"/>
      <c r="G93" s="173"/>
      <c r="H93" s="373" t="s">
        <v>834</v>
      </c>
      <c r="I93" s="427" t="s">
        <v>1503</v>
      </c>
      <c r="J93" s="173" t="s">
        <v>834</v>
      </c>
      <c r="K93" s="371" t="s">
        <v>1504</v>
      </c>
      <c r="L93" s="426" t="s">
        <v>834</v>
      </c>
      <c r="M93" s="427" t="s">
        <v>1505</v>
      </c>
      <c r="N93" s="173" t="s">
        <v>834</v>
      </c>
      <c r="O93" s="171"/>
      <c r="P93" s="445">
        <v>6.35</v>
      </c>
      <c r="Q93" s="427" t="s">
        <v>1506</v>
      </c>
      <c r="R93" s="374">
        <v>0.39800000000000002</v>
      </c>
      <c r="S93" s="168" t="s">
        <v>837</v>
      </c>
      <c r="T93" s="428">
        <v>5.75</v>
      </c>
      <c r="U93" s="376"/>
      <c r="V93" s="429">
        <v>6</v>
      </c>
      <c r="W93" s="377" t="s">
        <v>992</v>
      </c>
      <c r="X93" s="167" t="s">
        <v>834</v>
      </c>
      <c r="Y93" s="168" t="s">
        <v>1507</v>
      </c>
      <c r="Z93" s="167">
        <v>4</v>
      </c>
      <c r="AA93" s="168"/>
      <c r="AB93" s="167" t="s">
        <v>834</v>
      </c>
      <c r="AC93" s="168" t="s">
        <v>1508</v>
      </c>
      <c r="AD93" s="430" t="s">
        <v>834</v>
      </c>
      <c r="AE93" s="168"/>
      <c r="AF93" s="173" t="s">
        <v>834</v>
      </c>
      <c r="AG93" s="171"/>
      <c r="AH93" s="167">
        <v>6</v>
      </c>
      <c r="AI93" s="168"/>
      <c r="AJ93" s="373">
        <v>6.5</v>
      </c>
      <c r="AK93" s="431" t="s">
        <v>863</v>
      </c>
      <c r="AL93" s="167" t="s">
        <v>834</v>
      </c>
      <c r="AM93" s="168"/>
      <c r="AN93" s="173">
        <v>5</v>
      </c>
      <c r="AO93" s="171"/>
      <c r="AP93" s="432" t="s">
        <v>834</v>
      </c>
      <c r="AQ93" s="168"/>
      <c r="AR93" s="173" t="s">
        <v>834</v>
      </c>
      <c r="AS93" s="171" t="s">
        <v>1509</v>
      </c>
      <c r="AT93" s="173" t="s">
        <v>834</v>
      </c>
      <c r="AU93" s="171"/>
      <c r="AV93" s="381" t="s">
        <v>834</v>
      </c>
      <c r="AW93" s="167"/>
      <c r="AX93" s="433">
        <v>6.875</v>
      </c>
      <c r="AY93" s="427" t="s">
        <v>1510</v>
      </c>
      <c r="AZ93" s="167" t="s">
        <v>834</v>
      </c>
      <c r="BA93" s="427"/>
      <c r="BB93" s="164" t="s">
        <v>834</v>
      </c>
      <c r="BC93" s="167"/>
      <c r="BD93" s="464"/>
      <c r="BE93" s="427"/>
      <c r="BF93" s="384">
        <v>5.5</v>
      </c>
      <c r="BG93" s="168"/>
      <c r="BH93" s="432" t="s">
        <v>834</v>
      </c>
      <c r="BI93" s="167"/>
      <c r="BJ93" s="167"/>
      <c r="BK93" s="167"/>
      <c r="BL93" s="167" t="s">
        <v>834</v>
      </c>
      <c r="BM93" s="167"/>
      <c r="BN93" s="173">
        <v>5.125</v>
      </c>
      <c r="BO93" s="171"/>
      <c r="BP93" s="435" t="s">
        <v>834</v>
      </c>
      <c r="BQ93" s="436"/>
      <c r="BR93" s="167" t="s">
        <v>834</v>
      </c>
      <c r="BS93" s="168" t="s">
        <v>1511</v>
      </c>
      <c r="BT93" s="167" t="s">
        <v>834</v>
      </c>
      <c r="BU93" s="167"/>
      <c r="BV93" s="429">
        <v>5.75</v>
      </c>
      <c r="BW93" s="167"/>
      <c r="BX93" s="437" t="s">
        <v>834</v>
      </c>
      <c r="BY93" s="171"/>
      <c r="BZ93" s="432"/>
      <c r="CA93" s="168"/>
      <c r="CB93" s="167" t="s">
        <v>834</v>
      </c>
      <c r="CC93" s="168" t="s">
        <v>1512</v>
      </c>
      <c r="CD93" s="173" t="s">
        <v>834</v>
      </c>
      <c r="CE93" s="171"/>
      <c r="CF93" s="167" t="s">
        <v>834</v>
      </c>
      <c r="CG93" s="175" t="s">
        <v>1513</v>
      </c>
      <c r="CH93" s="167">
        <v>4.5</v>
      </c>
      <c r="CI93" s="168"/>
      <c r="CJ93" s="167">
        <v>7</v>
      </c>
      <c r="CK93" s="168"/>
      <c r="CL93" s="385">
        <v>6.25</v>
      </c>
      <c r="CM93" s="168"/>
      <c r="CN93" s="385">
        <v>4.7</v>
      </c>
      <c r="CO93" s="167"/>
      <c r="CP93" s="167" t="s">
        <v>834</v>
      </c>
      <c r="CQ93" s="167"/>
      <c r="CR93" s="373" t="s">
        <v>834</v>
      </c>
      <c r="CS93" s="454" t="s">
        <v>1514</v>
      </c>
      <c r="CT93" s="432">
        <v>6.5</v>
      </c>
      <c r="CU93" s="168" t="s">
        <v>938</v>
      </c>
      <c r="CV93" s="432">
        <v>6</v>
      </c>
      <c r="CW93" s="168"/>
      <c r="CX93" s="168">
        <v>5</v>
      </c>
      <c r="CY93" s="168" t="s">
        <v>1515</v>
      </c>
      <c r="CZ93" s="173">
        <v>4</v>
      </c>
      <c r="DA93" s="171" t="s">
        <v>1516</v>
      </c>
      <c r="DB93" s="371" t="s">
        <v>546</v>
      </c>
      <c r="DC93" s="371">
        <f t="shared" si="11"/>
        <v>20</v>
      </c>
      <c r="DD93" s="371"/>
      <c r="DE93" s="371"/>
      <c r="DF93" s="371"/>
      <c r="DG93" s="371"/>
      <c r="DH93" s="371"/>
      <c r="DI93" s="371"/>
      <c r="DJ93" s="371"/>
      <c r="DK93" s="371"/>
      <c r="DL93" s="371"/>
      <c r="DM93" s="371"/>
      <c r="DN93" s="371"/>
      <c r="DO93" s="371"/>
      <c r="DP93" s="371"/>
      <c r="DQ93" s="371"/>
      <c r="DR93" s="371"/>
    </row>
    <row r="94" spans="1:122" ht="18.75" x14ac:dyDescent="0.3">
      <c r="A94" s="524"/>
      <c r="B94" s="525"/>
      <c r="C94" s="526" t="s">
        <v>1517</v>
      </c>
      <c r="D94" s="527"/>
      <c r="E94" s="528"/>
      <c r="F94" s="529"/>
      <c r="G94" s="529"/>
      <c r="H94" s="542"/>
      <c r="I94" s="530"/>
      <c r="J94" s="529"/>
      <c r="K94" s="531" t="s">
        <v>847</v>
      </c>
      <c r="L94" s="532"/>
      <c r="M94" s="530"/>
      <c r="N94" s="529"/>
      <c r="O94" s="533"/>
      <c r="P94" s="534"/>
      <c r="Q94" s="530"/>
      <c r="R94" s="545"/>
      <c r="S94" s="535"/>
      <c r="T94" s="546"/>
      <c r="U94" s="536"/>
      <c r="V94" s="547"/>
      <c r="W94" s="537"/>
      <c r="X94" s="540"/>
      <c r="Y94" s="535"/>
      <c r="Z94" s="540"/>
      <c r="AA94" s="535"/>
      <c r="AB94" s="540"/>
      <c r="AC94" s="535"/>
      <c r="AD94" s="538" t="s">
        <v>546</v>
      </c>
      <c r="AE94" s="535"/>
      <c r="AF94" s="529"/>
      <c r="AG94" s="533"/>
      <c r="AH94" s="540"/>
      <c r="AI94" s="535"/>
      <c r="AJ94" s="542"/>
      <c r="AK94" s="539"/>
      <c r="AL94" s="540"/>
      <c r="AM94" s="535"/>
      <c r="AN94" s="529"/>
      <c r="AO94" s="533"/>
      <c r="AP94" s="548"/>
      <c r="AQ94" s="535"/>
      <c r="AR94" s="529"/>
      <c r="AS94" s="533"/>
      <c r="AT94" s="529"/>
      <c r="AU94" s="533"/>
      <c r="AV94" s="549"/>
      <c r="AW94" s="540"/>
      <c r="AX94" s="550"/>
      <c r="AY94" s="530"/>
      <c r="AZ94" s="540"/>
      <c r="BA94" s="530"/>
      <c r="BB94" s="169"/>
      <c r="BC94" s="540"/>
      <c r="BD94" s="551"/>
      <c r="BE94" s="530"/>
      <c r="BF94" s="552"/>
      <c r="BG94" s="535"/>
      <c r="BH94" s="548"/>
      <c r="BI94" s="540"/>
      <c r="BJ94" s="540"/>
      <c r="BK94" s="540"/>
      <c r="BL94" s="540"/>
      <c r="BM94" s="540"/>
      <c r="BN94" s="529"/>
      <c r="BO94" s="533"/>
      <c r="BP94" s="553"/>
      <c r="BQ94" s="541"/>
      <c r="BR94" s="540"/>
      <c r="BS94" s="540"/>
      <c r="BT94" s="540"/>
      <c r="BU94" s="540"/>
      <c r="BV94" s="540"/>
      <c r="BW94" s="540"/>
      <c r="BX94" s="554"/>
      <c r="BY94" s="533"/>
      <c r="BZ94" s="548"/>
      <c r="CA94" s="535"/>
      <c r="CB94" s="540"/>
      <c r="CC94" s="540"/>
      <c r="CD94" s="529"/>
      <c r="CE94" s="533"/>
      <c r="CF94" s="540"/>
      <c r="CG94" s="555"/>
      <c r="CH94" s="540"/>
      <c r="CI94" s="535"/>
      <c r="CJ94" s="540"/>
      <c r="CK94" s="535"/>
      <c r="CL94" s="534"/>
      <c r="CM94" s="535"/>
      <c r="CN94" s="534"/>
      <c r="CO94" s="540"/>
      <c r="CP94" s="540"/>
      <c r="CQ94" s="540"/>
      <c r="CR94" s="542"/>
      <c r="CS94" s="542"/>
      <c r="CT94" s="548"/>
      <c r="CU94" s="535"/>
      <c r="CV94" s="548"/>
      <c r="CW94" s="535"/>
      <c r="CX94" s="535"/>
      <c r="CY94" s="535"/>
      <c r="CZ94" s="529"/>
      <c r="DA94" s="533"/>
      <c r="DB94" s="531"/>
      <c r="DC94" s="531"/>
      <c r="DD94" s="531"/>
      <c r="DE94" s="531"/>
      <c r="DF94" s="531"/>
      <c r="DG94" s="531"/>
      <c r="DH94" s="531"/>
      <c r="DI94" s="531"/>
      <c r="DJ94" s="531"/>
      <c r="DK94" s="531"/>
      <c r="DL94" s="531"/>
      <c r="DM94" s="531"/>
      <c r="DN94" s="531"/>
      <c r="DO94" s="531"/>
      <c r="DP94" s="531"/>
      <c r="DQ94" s="531"/>
      <c r="DR94" s="531"/>
    </row>
    <row r="95" spans="1:122" ht="18.75" x14ac:dyDescent="0.3">
      <c r="A95" s="325">
        <v>56191</v>
      </c>
      <c r="B95" s="326">
        <v>61</v>
      </c>
      <c r="C95" s="327" t="s">
        <v>1518</v>
      </c>
      <c r="D95" s="424" t="s">
        <v>834</v>
      </c>
      <c r="E95" s="328"/>
      <c r="F95" s="173"/>
      <c r="G95" s="173"/>
      <c r="H95" s="373" t="s">
        <v>834</v>
      </c>
      <c r="I95" s="427"/>
      <c r="J95" s="173" t="s">
        <v>834</v>
      </c>
      <c r="K95" s="371" t="s">
        <v>1519</v>
      </c>
      <c r="L95" s="426">
        <v>7.25</v>
      </c>
      <c r="M95" s="427" t="s">
        <v>1520</v>
      </c>
      <c r="N95" s="173" t="s">
        <v>834</v>
      </c>
      <c r="O95" s="171"/>
      <c r="P95" s="445" t="s">
        <v>834</v>
      </c>
      <c r="Q95" s="427"/>
      <c r="R95" s="457">
        <v>0.39800000000000002</v>
      </c>
      <c r="S95" s="168" t="s">
        <v>837</v>
      </c>
      <c r="T95" s="428" t="s">
        <v>834</v>
      </c>
      <c r="U95" s="376" t="s">
        <v>1521</v>
      </c>
      <c r="V95" s="441">
        <v>6</v>
      </c>
      <c r="W95" s="377" t="s">
        <v>1522</v>
      </c>
      <c r="X95" s="167">
        <v>4</v>
      </c>
      <c r="Y95" s="168"/>
      <c r="Z95" s="167">
        <v>4</v>
      </c>
      <c r="AA95" s="168"/>
      <c r="AB95" s="167" t="s">
        <v>834</v>
      </c>
      <c r="AC95" s="168"/>
      <c r="AD95" s="430" t="s">
        <v>834</v>
      </c>
      <c r="AE95" s="168"/>
      <c r="AF95" s="173" t="s">
        <v>834</v>
      </c>
      <c r="AG95" s="171"/>
      <c r="AH95" s="167">
        <v>6</v>
      </c>
      <c r="AI95" s="168"/>
      <c r="AJ95" s="373">
        <v>6.5</v>
      </c>
      <c r="AK95" s="431" t="s">
        <v>863</v>
      </c>
      <c r="AL95" s="167" t="s">
        <v>834</v>
      </c>
      <c r="AM95" s="168"/>
      <c r="AN95" s="173">
        <v>5</v>
      </c>
      <c r="AO95" s="171"/>
      <c r="AP95" s="432" t="s">
        <v>834</v>
      </c>
      <c r="AQ95" s="168"/>
      <c r="AR95" s="173" t="s">
        <v>834</v>
      </c>
      <c r="AS95" s="171"/>
      <c r="AT95" s="173" t="s">
        <v>834</v>
      </c>
      <c r="AU95" s="171"/>
      <c r="AV95" s="381" t="s">
        <v>834</v>
      </c>
      <c r="AW95" s="168" t="s">
        <v>1523</v>
      </c>
      <c r="AX95" s="443" t="s">
        <v>834</v>
      </c>
      <c r="AY95" s="427"/>
      <c r="AZ95" s="167" t="s">
        <v>834</v>
      </c>
      <c r="BA95" s="427"/>
      <c r="BB95" s="164" t="s">
        <v>834</v>
      </c>
      <c r="BC95" s="167"/>
      <c r="BD95" s="464"/>
      <c r="BE95" s="427"/>
      <c r="BF95" s="384">
        <v>5.5</v>
      </c>
      <c r="BG95" s="168"/>
      <c r="BH95" s="432" t="s">
        <v>834</v>
      </c>
      <c r="BI95" s="167"/>
      <c r="BJ95" s="167"/>
      <c r="BK95" s="167"/>
      <c r="BL95" s="167">
        <v>6.875</v>
      </c>
      <c r="BM95" s="167"/>
      <c r="BN95" s="173">
        <v>5.125</v>
      </c>
      <c r="BO95" s="171"/>
      <c r="BP95" s="435" t="s">
        <v>834</v>
      </c>
      <c r="BQ95" s="436"/>
      <c r="BR95" s="167" t="s">
        <v>834</v>
      </c>
      <c r="BS95" s="167"/>
      <c r="BT95" s="167" t="s">
        <v>834</v>
      </c>
      <c r="BU95" s="167"/>
      <c r="BV95" s="429">
        <v>5.75</v>
      </c>
      <c r="BW95" s="167"/>
      <c r="BX95" s="437" t="s">
        <v>834</v>
      </c>
      <c r="BY95" s="171"/>
      <c r="BZ95" s="432"/>
      <c r="CA95" s="168"/>
      <c r="CB95" s="167">
        <v>6</v>
      </c>
      <c r="CC95" s="167"/>
      <c r="CD95" s="173" t="s">
        <v>834</v>
      </c>
      <c r="CE95" s="171"/>
      <c r="CF95" s="167" t="s">
        <v>834</v>
      </c>
      <c r="CG95" s="175" t="s">
        <v>1513</v>
      </c>
      <c r="CH95" s="167">
        <v>4.5</v>
      </c>
      <c r="CI95" s="168"/>
      <c r="CJ95" s="167">
        <v>7</v>
      </c>
      <c r="CK95" s="168"/>
      <c r="CL95" s="385" t="s">
        <v>834</v>
      </c>
      <c r="CM95" s="168" t="s">
        <v>1524</v>
      </c>
      <c r="CN95" s="385">
        <v>4.7</v>
      </c>
      <c r="CO95" s="168" t="s">
        <v>1525</v>
      </c>
      <c r="CP95" s="167">
        <v>6</v>
      </c>
      <c r="CQ95" s="167"/>
      <c r="CR95" s="373">
        <v>5.3</v>
      </c>
      <c r="CS95" s="427" t="s">
        <v>1526</v>
      </c>
      <c r="CT95" s="432">
        <v>6.5</v>
      </c>
      <c r="CU95" s="168" t="s">
        <v>938</v>
      </c>
      <c r="CV95" s="432">
        <v>6</v>
      </c>
      <c r="CW95" s="168"/>
      <c r="CX95" s="168">
        <v>5</v>
      </c>
      <c r="CY95" s="168"/>
      <c r="CZ95" s="173">
        <v>4</v>
      </c>
      <c r="DA95" s="171" t="s">
        <v>1527</v>
      </c>
      <c r="DB95" s="371" t="s">
        <v>546</v>
      </c>
      <c r="DC95" s="371">
        <f t="shared" ref="DC95:DC106" si="12">COUNT(D95:CZ95)</f>
        <v>22</v>
      </c>
      <c r="DD95" s="371"/>
      <c r="DE95" s="371"/>
      <c r="DF95" s="371"/>
      <c r="DG95" s="371"/>
      <c r="DH95" s="371"/>
      <c r="DI95" s="371"/>
      <c r="DJ95" s="371"/>
      <c r="DK95" s="371"/>
      <c r="DL95" s="371"/>
      <c r="DM95" s="371"/>
      <c r="DN95" s="371"/>
      <c r="DO95" s="371"/>
      <c r="DP95" s="371"/>
      <c r="DQ95" s="371"/>
      <c r="DR95" s="371"/>
    </row>
    <row r="96" spans="1:122" ht="18.75" x14ac:dyDescent="0.3">
      <c r="A96" s="325" t="s">
        <v>1528</v>
      </c>
      <c r="B96" s="326">
        <v>62</v>
      </c>
      <c r="C96" s="327" t="s">
        <v>1529</v>
      </c>
      <c r="D96" s="424" t="s">
        <v>834</v>
      </c>
      <c r="E96" s="328"/>
      <c r="F96" s="173"/>
      <c r="G96" s="173"/>
      <c r="H96" s="373">
        <v>6.5</v>
      </c>
      <c r="I96" s="427" t="s">
        <v>1530</v>
      </c>
      <c r="J96" s="173" t="s">
        <v>834</v>
      </c>
      <c r="K96" s="371" t="s">
        <v>1531</v>
      </c>
      <c r="L96" s="426" t="s">
        <v>834</v>
      </c>
      <c r="M96" s="427"/>
      <c r="N96" s="173" t="s">
        <v>834</v>
      </c>
      <c r="O96" s="171"/>
      <c r="P96" s="445">
        <v>6.35</v>
      </c>
      <c r="Q96" s="427"/>
      <c r="R96" s="457">
        <v>0.39800000000000002</v>
      </c>
      <c r="S96" s="168" t="s">
        <v>837</v>
      </c>
      <c r="T96" s="428">
        <v>5.75</v>
      </c>
      <c r="U96" s="376" t="s">
        <v>1532</v>
      </c>
      <c r="V96" s="441" t="s">
        <v>834</v>
      </c>
      <c r="W96" s="377" t="s">
        <v>1533</v>
      </c>
      <c r="X96" s="167" t="s">
        <v>834</v>
      </c>
      <c r="Y96" s="168" t="s">
        <v>1534</v>
      </c>
      <c r="Z96" s="167">
        <v>4</v>
      </c>
      <c r="AA96" s="168"/>
      <c r="AB96" s="167">
        <v>6</v>
      </c>
      <c r="AC96" s="168"/>
      <c r="AD96" s="430" t="s">
        <v>834</v>
      </c>
      <c r="AE96" s="168"/>
      <c r="AF96" s="173" t="s">
        <v>834</v>
      </c>
      <c r="AG96" s="171"/>
      <c r="AH96" s="167">
        <v>6</v>
      </c>
      <c r="AI96" s="168" t="s">
        <v>1535</v>
      </c>
      <c r="AJ96" s="373">
        <v>6.5</v>
      </c>
      <c r="AK96" s="431" t="s">
        <v>863</v>
      </c>
      <c r="AL96" s="167" t="s">
        <v>834</v>
      </c>
      <c r="AM96" s="168"/>
      <c r="AN96" s="173" t="s">
        <v>834</v>
      </c>
      <c r="AO96" s="171" t="s">
        <v>1536</v>
      </c>
      <c r="AP96" s="432" t="s">
        <v>834</v>
      </c>
      <c r="AQ96" s="168"/>
      <c r="AR96" s="173" t="s">
        <v>834</v>
      </c>
      <c r="AS96" s="171"/>
      <c r="AT96" s="173" t="s">
        <v>834</v>
      </c>
      <c r="AU96" s="171"/>
      <c r="AV96" s="381" t="s">
        <v>834</v>
      </c>
      <c r="AW96" s="167"/>
      <c r="AX96" s="443">
        <v>6.875</v>
      </c>
      <c r="AY96" s="427"/>
      <c r="AZ96" s="167" t="s">
        <v>834</v>
      </c>
      <c r="BA96" s="427"/>
      <c r="BB96" s="164">
        <v>4.2249999999999996</v>
      </c>
      <c r="BC96" s="168" t="s">
        <v>1537</v>
      </c>
      <c r="BD96" s="464" t="s">
        <v>546</v>
      </c>
      <c r="BE96" s="427"/>
      <c r="BF96" s="384">
        <v>5.5</v>
      </c>
      <c r="BG96" s="168"/>
      <c r="BH96" s="432" t="s">
        <v>834</v>
      </c>
      <c r="BI96" s="167"/>
      <c r="BJ96" s="167"/>
      <c r="BK96" s="167"/>
      <c r="BL96" s="167">
        <v>6.875</v>
      </c>
      <c r="BM96" s="168" t="s">
        <v>1538</v>
      </c>
      <c r="BN96" s="173">
        <v>5.125</v>
      </c>
      <c r="BO96" s="171"/>
      <c r="BP96" s="435" t="s">
        <v>834</v>
      </c>
      <c r="BQ96" s="436" t="s">
        <v>1539</v>
      </c>
      <c r="BR96" s="167" t="s">
        <v>834</v>
      </c>
      <c r="BS96" s="167"/>
      <c r="BT96" s="167" t="s">
        <v>834</v>
      </c>
      <c r="BU96" s="167"/>
      <c r="BV96" s="429">
        <v>5.75</v>
      </c>
      <c r="BW96" s="168"/>
      <c r="BX96" s="437">
        <v>4.5</v>
      </c>
      <c r="BY96" s="171" t="s">
        <v>1540</v>
      </c>
      <c r="BZ96" s="432" t="s">
        <v>546</v>
      </c>
      <c r="CA96" s="168"/>
      <c r="CB96" s="167" t="s">
        <v>834</v>
      </c>
      <c r="CC96" s="167"/>
      <c r="CD96" s="173" t="s">
        <v>834</v>
      </c>
      <c r="CE96" s="171"/>
      <c r="CF96" s="373">
        <v>5</v>
      </c>
      <c r="CG96" s="175" t="s">
        <v>1541</v>
      </c>
      <c r="CH96" s="167">
        <v>4.5</v>
      </c>
      <c r="CI96" s="168"/>
      <c r="CJ96" s="167">
        <v>7</v>
      </c>
      <c r="CK96" s="175" t="s">
        <v>1542</v>
      </c>
      <c r="CL96" s="445">
        <v>6.25</v>
      </c>
      <c r="CM96" s="168" t="s">
        <v>1543</v>
      </c>
      <c r="CN96" s="385" t="s">
        <v>834</v>
      </c>
      <c r="CO96" s="168" t="s">
        <v>1544</v>
      </c>
      <c r="CP96" s="167">
        <v>6</v>
      </c>
      <c r="CQ96" s="168" t="s">
        <v>1545</v>
      </c>
      <c r="CR96" s="373" t="s">
        <v>834</v>
      </c>
      <c r="CS96" s="373"/>
      <c r="CT96" s="432">
        <v>6.5</v>
      </c>
      <c r="CU96" s="168" t="s">
        <v>938</v>
      </c>
      <c r="CV96" s="432">
        <v>6</v>
      </c>
      <c r="CW96" s="168" t="s">
        <v>1546</v>
      </c>
      <c r="CX96" s="168">
        <v>5</v>
      </c>
      <c r="CY96" s="168" t="s">
        <v>1547</v>
      </c>
      <c r="CZ96" s="173" t="s">
        <v>834</v>
      </c>
      <c r="DA96" s="171"/>
      <c r="DB96" s="371" t="s">
        <v>546</v>
      </c>
      <c r="DC96" s="371">
        <f t="shared" si="12"/>
        <v>23</v>
      </c>
      <c r="DD96" s="371"/>
      <c r="DE96" s="371"/>
      <c r="DF96" s="371"/>
      <c r="DG96" s="371"/>
      <c r="DH96" s="371"/>
      <c r="DI96" s="371"/>
      <c r="DJ96" s="371"/>
      <c r="DK96" s="371"/>
      <c r="DL96" s="371"/>
      <c r="DM96" s="371"/>
      <c r="DN96" s="371"/>
      <c r="DO96" s="371"/>
      <c r="DP96" s="371"/>
      <c r="DQ96" s="371"/>
      <c r="DR96" s="371"/>
    </row>
    <row r="97" spans="1:122" ht="18.75" x14ac:dyDescent="0.3">
      <c r="A97" s="325">
        <v>81231</v>
      </c>
      <c r="B97" s="326">
        <v>63</v>
      </c>
      <c r="C97" s="327" t="s">
        <v>1548</v>
      </c>
      <c r="D97" s="424" t="s">
        <v>834</v>
      </c>
      <c r="E97" s="328"/>
      <c r="F97" s="173"/>
      <c r="G97" s="173"/>
      <c r="H97" s="373" t="s">
        <v>834</v>
      </c>
      <c r="I97" s="427"/>
      <c r="J97" s="173" t="s">
        <v>834</v>
      </c>
      <c r="K97" s="371" t="s">
        <v>1549</v>
      </c>
      <c r="L97" s="426" t="s">
        <v>834</v>
      </c>
      <c r="M97" s="427"/>
      <c r="N97" s="173" t="s">
        <v>834</v>
      </c>
      <c r="O97" s="171"/>
      <c r="P97" s="445" t="s">
        <v>834</v>
      </c>
      <c r="Q97" s="427"/>
      <c r="R97" s="457">
        <v>0.39800000000000002</v>
      </c>
      <c r="S97" s="168" t="s">
        <v>837</v>
      </c>
      <c r="T97" s="428" t="s">
        <v>834</v>
      </c>
      <c r="U97" s="376"/>
      <c r="V97" s="441" t="s">
        <v>834</v>
      </c>
      <c r="W97" s="377" t="s">
        <v>992</v>
      </c>
      <c r="X97" s="167" t="s">
        <v>834</v>
      </c>
      <c r="Y97" s="168" t="s">
        <v>1534</v>
      </c>
      <c r="Z97" s="167">
        <v>4</v>
      </c>
      <c r="AA97" s="168"/>
      <c r="AB97" s="167" t="s">
        <v>834</v>
      </c>
      <c r="AC97" s="168"/>
      <c r="AD97" s="430" t="s">
        <v>834</v>
      </c>
      <c r="AE97" s="168"/>
      <c r="AF97" s="173" t="s">
        <v>834</v>
      </c>
      <c r="AG97" s="171"/>
      <c r="AH97" s="544" t="s">
        <v>834</v>
      </c>
      <c r="AI97" s="453" t="s">
        <v>1550</v>
      </c>
      <c r="AJ97" s="373" t="s">
        <v>834</v>
      </c>
      <c r="AK97" s="431" t="s">
        <v>1551</v>
      </c>
      <c r="AL97" s="167" t="s">
        <v>834</v>
      </c>
      <c r="AM97" s="168"/>
      <c r="AN97" s="173" t="s">
        <v>834</v>
      </c>
      <c r="AO97" s="171"/>
      <c r="AP97" s="432" t="s">
        <v>834</v>
      </c>
      <c r="AQ97" s="168"/>
      <c r="AR97" s="173" t="s">
        <v>834</v>
      </c>
      <c r="AS97" s="171" t="s">
        <v>546</v>
      </c>
      <c r="AT97" s="173" t="s">
        <v>834</v>
      </c>
      <c r="AU97" s="171"/>
      <c r="AV97" s="381" t="s">
        <v>834</v>
      </c>
      <c r="AW97" s="167"/>
      <c r="AX97" s="443" t="s">
        <v>834</v>
      </c>
      <c r="AY97" s="427"/>
      <c r="AZ97" s="167" t="s">
        <v>834</v>
      </c>
      <c r="BA97" s="427"/>
      <c r="BB97" s="164" t="s">
        <v>834</v>
      </c>
      <c r="BC97" s="167"/>
      <c r="BD97" s="464"/>
      <c r="BE97" s="427"/>
      <c r="BF97" s="384" t="s">
        <v>834</v>
      </c>
      <c r="BG97" s="168" t="s">
        <v>1552</v>
      </c>
      <c r="BH97" s="432" t="s">
        <v>834</v>
      </c>
      <c r="BI97" s="167"/>
      <c r="BJ97" s="167"/>
      <c r="BK97" s="167"/>
      <c r="BL97" s="167" t="s">
        <v>834</v>
      </c>
      <c r="BM97" s="168"/>
      <c r="BN97" s="173">
        <v>5.125</v>
      </c>
      <c r="BO97" s="171"/>
      <c r="BP97" s="435" t="s">
        <v>834</v>
      </c>
      <c r="BQ97" s="436"/>
      <c r="BR97" s="167" t="s">
        <v>834</v>
      </c>
      <c r="BS97" s="168" t="s">
        <v>546</v>
      </c>
      <c r="BT97" s="167" t="s">
        <v>834</v>
      </c>
      <c r="BU97" s="167"/>
      <c r="BV97" s="167" t="s">
        <v>834</v>
      </c>
      <c r="BW97" s="167"/>
      <c r="BX97" s="437" t="s">
        <v>834</v>
      </c>
      <c r="BY97" s="171"/>
      <c r="BZ97" s="432"/>
      <c r="CA97" s="168"/>
      <c r="CB97" s="167" t="s">
        <v>834</v>
      </c>
      <c r="CC97" s="167"/>
      <c r="CD97" s="173" t="s">
        <v>834</v>
      </c>
      <c r="CE97" s="171"/>
      <c r="CF97" s="167" t="s">
        <v>834</v>
      </c>
      <c r="CG97" s="175" t="s">
        <v>1553</v>
      </c>
      <c r="CH97" s="373" t="s">
        <v>834</v>
      </c>
      <c r="CI97" s="168" t="s">
        <v>1554</v>
      </c>
      <c r="CJ97" s="167" t="s">
        <v>834</v>
      </c>
      <c r="CK97" s="168"/>
      <c r="CL97" s="385" t="s">
        <v>834</v>
      </c>
      <c r="CM97" s="168"/>
      <c r="CN97" s="385" t="s">
        <v>834</v>
      </c>
      <c r="CO97" s="167"/>
      <c r="CP97" s="167" t="s">
        <v>834</v>
      </c>
      <c r="CQ97" s="167"/>
      <c r="CR97" s="373" t="s">
        <v>834</v>
      </c>
      <c r="CS97" s="373"/>
      <c r="CT97" s="432">
        <v>6.5</v>
      </c>
      <c r="CU97" s="168" t="s">
        <v>938</v>
      </c>
      <c r="CV97" s="432">
        <v>6</v>
      </c>
      <c r="CW97" s="168"/>
      <c r="CX97" s="168" t="s">
        <v>834</v>
      </c>
      <c r="CY97" s="168" t="s">
        <v>546</v>
      </c>
      <c r="CZ97" s="173" t="s">
        <v>834</v>
      </c>
      <c r="DA97" s="171" t="s">
        <v>1555</v>
      </c>
      <c r="DB97" s="371" t="s">
        <v>546</v>
      </c>
      <c r="DC97" s="371">
        <f t="shared" si="12"/>
        <v>5</v>
      </c>
      <c r="DD97" s="371"/>
      <c r="DE97" s="371"/>
      <c r="DF97" s="371"/>
      <c r="DG97" s="371"/>
      <c r="DH97" s="371"/>
      <c r="DI97" s="371"/>
      <c r="DJ97" s="371"/>
      <c r="DK97" s="371"/>
      <c r="DL97" s="371"/>
      <c r="DM97" s="371"/>
      <c r="DN97" s="371"/>
      <c r="DO97" s="371"/>
      <c r="DP97" s="371"/>
      <c r="DQ97" s="371"/>
      <c r="DR97" s="371"/>
    </row>
    <row r="98" spans="1:122" ht="18.75" x14ac:dyDescent="0.3">
      <c r="A98" s="325">
        <v>81232</v>
      </c>
      <c r="B98" s="326">
        <v>64</v>
      </c>
      <c r="C98" s="327" t="s">
        <v>1556</v>
      </c>
      <c r="D98" s="424" t="s">
        <v>834</v>
      </c>
      <c r="E98" s="328"/>
      <c r="F98" s="173"/>
      <c r="G98" s="173"/>
      <c r="H98" s="373">
        <v>6.5</v>
      </c>
      <c r="I98" s="427"/>
      <c r="J98" s="173" t="s">
        <v>834</v>
      </c>
      <c r="K98" s="371" t="s">
        <v>1557</v>
      </c>
      <c r="L98" s="426" t="s">
        <v>834</v>
      </c>
      <c r="M98" s="427" t="s">
        <v>1558</v>
      </c>
      <c r="N98" s="173" t="s">
        <v>834</v>
      </c>
      <c r="O98" s="171"/>
      <c r="P98" s="445" t="s">
        <v>834</v>
      </c>
      <c r="Q98" s="427"/>
      <c r="R98" s="457">
        <v>0.39800000000000002</v>
      </c>
      <c r="S98" s="168" t="s">
        <v>837</v>
      </c>
      <c r="T98" s="428">
        <v>5.75</v>
      </c>
      <c r="U98" s="376" t="s">
        <v>1559</v>
      </c>
      <c r="V98" s="441" t="s">
        <v>834</v>
      </c>
      <c r="W98" s="377" t="s">
        <v>992</v>
      </c>
      <c r="X98" s="167" t="s">
        <v>834</v>
      </c>
      <c r="Y98" s="168" t="s">
        <v>1534</v>
      </c>
      <c r="Z98" s="167">
        <v>4</v>
      </c>
      <c r="AA98" s="168"/>
      <c r="AB98" s="167" t="s">
        <v>834</v>
      </c>
      <c r="AC98" s="168"/>
      <c r="AD98" s="430" t="s">
        <v>834</v>
      </c>
      <c r="AE98" s="168"/>
      <c r="AF98" s="173" t="s">
        <v>834</v>
      </c>
      <c r="AG98" s="171"/>
      <c r="AH98" s="167">
        <v>6</v>
      </c>
      <c r="AI98" s="168"/>
      <c r="AJ98" s="373">
        <v>6.5</v>
      </c>
      <c r="AK98" s="431" t="s">
        <v>863</v>
      </c>
      <c r="AL98" s="167" t="s">
        <v>834</v>
      </c>
      <c r="AM98" s="168"/>
      <c r="AN98" s="173">
        <v>5</v>
      </c>
      <c r="AO98" s="171"/>
      <c r="AP98" s="432" t="s">
        <v>834</v>
      </c>
      <c r="AQ98" s="168"/>
      <c r="AR98" s="173">
        <v>6</v>
      </c>
      <c r="AS98" s="171" t="s">
        <v>1560</v>
      </c>
      <c r="AT98" s="173" t="s">
        <v>834</v>
      </c>
      <c r="AU98" s="171"/>
      <c r="AV98" s="381" t="s">
        <v>834</v>
      </c>
      <c r="AW98" s="167"/>
      <c r="AX98" s="443">
        <v>6.875</v>
      </c>
      <c r="AY98" s="427"/>
      <c r="AZ98" s="167">
        <v>7</v>
      </c>
      <c r="BA98" s="427"/>
      <c r="BB98" s="164" t="s">
        <v>834</v>
      </c>
      <c r="BC98" s="167"/>
      <c r="BD98" s="464"/>
      <c r="BE98" s="427"/>
      <c r="BF98" s="384" t="s">
        <v>834</v>
      </c>
      <c r="BG98" s="168"/>
      <c r="BH98" s="432" t="s">
        <v>834</v>
      </c>
      <c r="BI98" s="167"/>
      <c r="BJ98" s="167"/>
      <c r="BK98" s="167"/>
      <c r="BL98" s="167" t="s">
        <v>834</v>
      </c>
      <c r="BM98" s="168" t="s">
        <v>1561</v>
      </c>
      <c r="BN98" s="173">
        <v>5.125</v>
      </c>
      <c r="BO98" s="171"/>
      <c r="BP98" s="435" t="s">
        <v>834</v>
      </c>
      <c r="BQ98" s="436"/>
      <c r="BR98" s="385">
        <v>4.75</v>
      </c>
      <c r="BS98" s="168"/>
      <c r="BT98" s="167" t="s">
        <v>834</v>
      </c>
      <c r="BU98" s="167"/>
      <c r="BV98" s="429">
        <v>5.75</v>
      </c>
      <c r="BW98" s="167"/>
      <c r="BX98" s="437" t="s">
        <v>834</v>
      </c>
      <c r="BY98" s="171"/>
      <c r="BZ98" s="432"/>
      <c r="CA98" s="168"/>
      <c r="CB98" s="167" t="s">
        <v>834</v>
      </c>
      <c r="CC98" s="168"/>
      <c r="CD98" s="173" t="s">
        <v>834</v>
      </c>
      <c r="CE98" s="171"/>
      <c r="CF98" s="373">
        <v>6</v>
      </c>
      <c r="CG98" s="175" t="s">
        <v>1562</v>
      </c>
      <c r="CH98" s="167">
        <v>4.5</v>
      </c>
      <c r="CI98" s="168"/>
      <c r="CJ98" s="167">
        <v>7</v>
      </c>
      <c r="CK98" s="168"/>
      <c r="CL98" s="385">
        <v>6.25</v>
      </c>
      <c r="CM98" s="168"/>
      <c r="CN98" s="385">
        <v>4.7</v>
      </c>
      <c r="CO98" s="167"/>
      <c r="CP98" s="167" t="s">
        <v>834</v>
      </c>
      <c r="CQ98" s="167"/>
      <c r="CR98" s="373" t="s">
        <v>834</v>
      </c>
      <c r="CS98" s="373"/>
      <c r="CT98" s="432">
        <v>6.5</v>
      </c>
      <c r="CU98" s="168" t="s">
        <v>938</v>
      </c>
      <c r="CV98" s="432">
        <v>6</v>
      </c>
      <c r="CW98" s="168"/>
      <c r="CX98" s="168" t="s">
        <v>834</v>
      </c>
      <c r="CY98" s="168" t="s">
        <v>546</v>
      </c>
      <c r="CZ98" s="173">
        <v>4</v>
      </c>
      <c r="DA98" s="171" t="s">
        <v>1563</v>
      </c>
      <c r="DB98" s="371" t="s">
        <v>546</v>
      </c>
      <c r="DC98" s="371">
        <f t="shared" si="12"/>
        <v>21</v>
      </c>
      <c r="DD98" s="371"/>
      <c r="DE98" s="371"/>
      <c r="DF98" s="371"/>
      <c r="DG98" s="371"/>
      <c r="DH98" s="371"/>
      <c r="DI98" s="371"/>
      <c r="DJ98" s="371"/>
      <c r="DK98" s="371"/>
      <c r="DL98" s="371"/>
      <c r="DM98" s="371"/>
      <c r="DN98" s="371"/>
      <c r="DO98" s="371"/>
      <c r="DP98" s="371"/>
      <c r="DQ98" s="371"/>
      <c r="DR98" s="371"/>
    </row>
    <row r="99" spans="1:122" ht="18.75" x14ac:dyDescent="0.3">
      <c r="A99" s="325">
        <v>812199</v>
      </c>
      <c r="B99" s="326">
        <v>65</v>
      </c>
      <c r="C99" s="327" t="s">
        <v>1564</v>
      </c>
      <c r="D99" s="424" t="s">
        <v>834</v>
      </c>
      <c r="E99" s="328"/>
      <c r="F99" s="173"/>
      <c r="G99" s="173"/>
      <c r="H99" s="373" t="s">
        <v>834</v>
      </c>
      <c r="I99" s="427"/>
      <c r="J99" s="173" t="s">
        <v>834</v>
      </c>
      <c r="K99" s="371" t="s">
        <v>1565</v>
      </c>
      <c r="L99" s="426" t="s">
        <v>834</v>
      </c>
      <c r="M99" s="427"/>
      <c r="N99" s="173" t="s">
        <v>834</v>
      </c>
      <c r="O99" s="171"/>
      <c r="P99" s="445">
        <v>6.35</v>
      </c>
      <c r="Q99" s="427" t="s">
        <v>1566</v>
      </c>
      <c r="R99" s="457">
        <v>0.39800000000000002</v>
      </c>
      <c r="S99" s="168" t="s">
        <v>837</v>
      </c>
      <c r="T99" s="428" t="s">
        <v>834</v>
      </c>
      <c r="U99" s="376" t="s">
        <v>1567</v>
      </c>
      <c r="V99" s="441" t="s">
        <v>834</v>
      </c>
      <c r="W99" s="377" t="s">
        <v>992</v>
      </c>
      <c r="X99" s="167" t="s">
        <v>834</v>
      </c>
      <c r="Y99" s="168" t="s">
        <v>856</v>
      </c>
      <c r="Z99" s="167">
        <v>4</v>
      </c>
      <c r="AA99" s="168"/>
      <c r="AB99" s="167" t="s">
        <v>834</v>
      </c>
      <c r="AC99" s="168"/>
      <c r="AD99" s="430" t="s">
        <v>834</v>
      </c>
      <c r="AE99" s="168"/>
      <c r="AF99" s="173" t="s">
        <v>834</v>
      </c>
      <c r="AG99" s="171"/>
      <c r="AH99" s="167">
        <v>6</v>
      </c>
      <c r="AI99" s="168" t="s">
        <v>1535</v>
      </c>
      <c r="AJ99" s="373" t="s">
        <v>834</v>
      </c>
      <c r="AK99" s="431"/>
      <c r="AL99" s="167" t="s">
        <v>834</v>
      </c>
      <c r="AM99" s="168"/>
      <c r="AN99" s="173" t="s">
        <v>834</v>
      </c>
      <c r="AO99" s="171"/>
      <c r="AP99" s="432" t="s">
        <v>834</v>
      </c>
      <c r="AQ99" s="168"/>
      <c r="AR99" s="173" t="s">
        <v>834</v>
      </c>
      <c r="AS99" s="171"/>
      <c r="AT99" s="173" t="s">
        <v>834</v>
      </c>
      <c r="AU99" s="171"/>
      <c r="AV99" s="381" t="s">
        <v>834</v>
      </c>
      <c r="AW99" s="167"/>
      <c r="AX99" s="443">
        <v>6.875</v>
      </c>
      <c r="AY99" s="427" t="s">
        <v>1568</v>
      </c>
      <c r="AZ99" s="167" t="s">
        <v>834</v>
      </c>
      <c r="BA99" s="427"/>
      <c r="BB99" s="164" t="s">
        <v>834</v>
      </c>
      <c r="BC99" s="167"/>
      <c r="BD99" s="464"/>
      <c r="BE99" s="427"/>
      <c r="BF99" s="384" t="s">
        <v>834</v>
      </c>
      <c r="BG99" s="168"/>
      <c r="BH99" s="432" t="s">
        <v>834</v>
      </c>
      <c r="BI99" s="167"/>
      <c r="BJ99" s="167"/>
      <c r="BK99" s="167"/>
      <c r="BL99" s="167">
        <v>6.875</v>
      </c>
      <c r="BM99" s="168" t="s">
        <v>1569</v>
      </c>
      <c r="BN99" s="173">
        <v>5.125</v>
      </c>
      <c r="BO99" s="171"/>
      <c r="BP99" s="435" t="s">
        <v>834</v>
      </c>
      <c r="BQ99" s="436" t="s">
        <v>1440</v>
      </c>
      <c r="BR99" s="167" t="s">
        <v>834</v>
      </c>
      <c r="BS99" s="167"/>
      <c r="BT99" s="167" t="s">
        <v>834</v>
      </c>
      <c r="BU99" s="167"/>
      <c r="BV99" s="429">
        <v>5.75</v>
      </c>
      <c r="BW99" s="168" t="s">
        <v>1570</v>
      </c>
      <c r="BX99" s="437" t="s">
        <v>834</v>
      </c>
      <c r="BY99" s="171"/>
      <c r="BZ99" s="432"/>
      <c r="CA99" s="168"/>
      <c r="CB99" s="167" t="s">
        <v>834</v>
      </c>
      <c r="CC99" s="167"/>
      <c r="CD99" s="173" t="s">
        <v>834</v>
      </c>
      <c r="CE99" s="171"/>
      <c r="CF99" s="167" t="s">
        <v>834</v>
      </c>
      <c r="CG99" s="175"/>
      <c r="CH99" s="167">
        <v>4.5</v>
      </c>
      <c r="CI99" s="168"/>
      <c r="CJ99" s="167" t="s">
        <v>834</v>
      </c>
      <c r="CK99" s="175" t="s">
        <v>1571</v>
      </c>
      <c r="CL99" s="385">
        <v>6.25</v>
      </c>
      <c r="CM99" s="168" t="s">
        <v>1572</v>
      </c>
      <c r="CN99" s="385" t="s">
        <v>834</v>
      </c>
      <c r="CO99" s="167"/>
      <c r="CP99" s="167" t="s">
        <v>834</v>
      </c>
      <c r="CQ99" s="167"/>
      <c r="CR99" s="373" t="s">
        <v>834</v>
      </c>
      <c r="CS99" s="373"/>
      <c r="CT99" s="432">
        <v>1.5</v>
      </c>
      <c r="CU99" s="168" t="s">
        <v>840</v>
      </c>
      <c r="CV99" s="432" t="s">
        <v>834</v>
      </c>
      <c r="CW99" s="168" t="s">
        <v>1573</v>
      </c>
      <c r="CX99" s="168" t="s">
        <v>834</v>
      </c>
      <c r="CY99" s="168"/>
      <c r="CZ99" s="173" t="s">
        <v>834</v>
      </c>
      <c r="DA99" s="171"/>
      <c r="DB99" s="371" t="s">
        <v>546</v>
      </c>
      <c r="DC99" s="371">
        <f t="shared" si="12"/>
        <v>11</v>
      </c>
      <c r="DD99" s="371"/>
      <c r="DE99" s="371"/>
      <c r="DF99" s="371"/>
      <c r="DG99" s="371"/>
      <c r="DH99" s="371"/>
      <c r="DI99" s="371"/>
      <c r="DJ99" s="371"/>
      <c r="DK99" s="371"/>
      <c r="DL99" s="371"/>
      <c r="DM99" s="371"/>
      <c r="DN99" s="371"/>
      <c r="DO99" s="371"/>
      <c r="DP99" s="371"/>
      <c r="DQ99" s="371"/>
      <c r="DR99" s="371"/>
    </row>
    <row r="100" spans="1:122" ht="18.75" x14ac:dyDescent="0.3">
      <c r="A100" s="325">
        <v>0</v>
      </c>
      <c r="B100" s="326">
        <v>66</v>
      </c>
      <c r="C100" s="327" t="s">
        <v>1574</v>
      </c>
      <c r="D100" s="424" t="s">
        <v>834</v>
      </c>
      <c r="E100" s="328"/>
      <c r="F100" s="173"/>
      <c r="G100" s="173"/>
      <c r="H100" s="373">
        <v>6.5</v>
      </c>
      <c r="I100" s="427"/>
      <c r="J100" s="173" t="s">
        <v>834</v>
      </c>
      <c r="K100" s="371"/>
      <c r="L100" s="426" t="s">
        <v>834</v>
      </c>
      <c r="M100" s="427" t="s">
        <v>1575</v>
      </c>
      <c r="N100" s="173" t="s">
        <v>834</v>
      </c>
      <c r="O100" s="171"/>
      <c r="P100" s="445">
        <v>6.35</v>
      </c>
      <c r="Q100" s="427" t="s">
        <v>1576</v>
      </c>
      <c r="R100" s="457">
        <v>0.39800000000000002</v>
      </c>
      <c r="S100" s="168" t="s">
        <v>837</v>
      </c>
      <c r="T100" s="428">
        <v>5.75</v>
      </c>
      <c r="U100" s="376"/>
      <c r="V100" s="441" t="s">
        <v>834</v>
      </c>
      <c r="W100" s="377" t="s">
        <v>1577</v>
      </c>
      <c r="X100" s="167" t="s">
        <v>834</v>
      </c>
      <c r="Y100" s="168" t="s">
        <v>856</v>
      </c>
      <c r="Z100" s="167">
        <v>4</v>
      </c>
      <c r="AA100" s="168" t="s">
        <v>1578</v>
      </c>
      <c r="AB100" s="167" t="s">
        <v>834</v>
      </c>
      <c r="AC100" s="168"/>
      <c r="AD100" s="430">
        <v>7</v>
      </c>
      <c r="AE100" s="168"/>
      <c r="AF100" s="173" t="s">
        <v>834</v>
      </c>
      <c r="AG100" s="171"/>
      <c r="AH100" s="167">
        <v>6</v>
      </c>
      <c r="AI100" s="168" t="s">
        <v>1579</v>
      </c>
      <c r="AJ100" s="373" t="s">
        <v>834</v>
      </c>
      <c r="AK100" s="431"/>
      <c r="AL100" s="167" t="s">
        <v>995</v>
      </c>
      <c r="AM100" s="168" t="s">
        <v>1580</v>
      </c>
      <c r="AN100" s="173" t="s">
        <v>834</v>
      </c>
      <c r="AO100" s="171"/>
      <c r="AP100" s="475">
        <v>6</v>
      </c>
      <c r="AQ100" s="168" t="s">
        <v>1581</v>
      </c>
      <c r="AR100" s="173">
        <v>6</v>
      </c>
      <c r="AS100" s="171"/>
      <c r="AT100" s="173">
        <v>6.25</v>
      </c>
      <c r="AU100" s="171" t="s">
        <v>1582</v>
      </c>
      <c r="AV100" s="381" t="s">
        <v>834</v>
      </c>
      <c r="AW100" s="167"/>
      <c r="AX100" s="443">
        <v>6.875</v>
      </c>
      <c r="AY100" s="427"/>
      <c r="AZ100" s="429">
        <v>7</v>
      </c>
      <c r="BA100" s="427"/>
      <c r="BB100" s="164" t="s">
        <v>834</v>
      </c>
      <c r="BC100" s="167"/>
      <c r="BD100" s="464"/>
      <c r="BE100" s="427"/>
      <c r="BF100" s="384">
        <v>5.5</v>
      </c>
      <c r="BG100" s="168" t="s">
        <v>1583</v>
      </c>
      <c r="BH100" s="432" t="s">
        <v>834</v>
      </c>
      <c r="BI100" s="167"/>
      <c r="BJ100" s="373">
        <v>7</v>
      </c>
      <c r="BK100" s="168" t="s">
        <v>1142</v>
      </c>
      <c r="BL100" s="167">
        <v>6.875</v>
      </c>
      <c r="BM100" s="483"/>
      <c r="BN100" s="173">
        <v>5.125</v>
      </c>
      <c r="BO100" s="171" t="s">
        <v>1584</v>
      </c>
      <c r="BP100" s="556">
        <v>4</v>
      </c>
      <c r="BQ100" s="436" t="s">
        <v>1585</v>
      </c>
      <c r="BR100" s="167">
        <v>7</v>
      </c>
      <c r="BS100" s="168"/>
      <c r="BT100" s="167" t="s">
        <v>834</v>
      </c>
      <c r="BU100" s="167"/>
      <c r="BV100" s="429">
        <v>5.75</v>
      </c>
      <c r="BW100" s="167"/>
      <c r="BX100" s="437">
        <v>4.5</v>
      </c>
      <c r="BY100" s="171"/>
      <c r="BZ100" s="432"/>
      <c r="CA100" s="168"/>
      <c r="CB100" s="167">
        <v>6</v>
      </c>
      <c r="CC100" s="175" t="s">
        <v>1586</v>
      </c>
      <c r="CD100" s="173">
        <v>12</v>
      </c>
      <c r="CE100" s="171" t="s">
        <v>1145</v>
      </c>
      <c r="CF100" s="373">
        <v>11</v>
      </c>
      <c r="CG100" s="175" t="s">
        <v>1587</v>
      </c>
      <c r="CH100" s="167">
        <v>4.5</v>
      </c>
      <c r="CI100" s="168"/>
      <c r="CJ100" s="167">
        <v>7</v>
      </c>
      <c r="CK100" s="168"/>
      <c r="CL100" s="385">
        <v>6.25</v>
      </c>
      <c r="CM100" s="168"/>
      <c r="CN100" s="385" t="s">
        <v>834</v>
      </c>
      <c r="CO100" s="167"/>
      <c r="CP100" s="167" t="s">
        <v>834</v>
      </c>
      <c r="CQ100" s="167"/>
      <c r="CR100" s="373" t="s">
        <v>834</v>
      </c>
      <c r="CS100" s="373"/>
      <c r="CT100" s="455">
        <v>1.5</v>
      </c>
      <c r="CU100" s="168" t="s">
        <v>840</v>
      </c>
      <c r="CV100" s="557">
        <v>6</v>
      </c>
      <c r="CW100" s="168" t="s">
        <v>1588</v>
      </c>
      <c r="CX100" s="168">
        <v>5</v>
      </c>
      <c r="CY100" s="168" t="s">
        <v>1589</v>
      </c>
      <c r="CZ100" s="173" t="s">
        <v>834</v>
      </c>
      <c r="DA100" s="171" t="s">
        <v>1150</v>
      </c>
      <c r="DB100" s="371" t="s">
        <v>546</v>
      </c>
      <c r="DC100" s="371">
        <f t="shared" si="12"/>
        <v>29</v>
      </c>
      <c r="DD100" s="371"/>
      <c r="DE100" s="371"/>
      <c r="DF100" s="371"/>
      <c r="DG100" s="371"/>
      <c r="DH100" s="371"/>
      <c r="DI100" s="371"/>
      <c r="DJ100" s="371"/>
      <c r="DK100" s="371"/>
      <c r="DL100" s="371"/>
      <c r="DM100" s="371"/>
      <c r="DN100" s="371"/>
      <c r="DO100" s="371"/>
      <c r="DP100" s="371"/>
      <c r="DQ100" s="371"/>
      <c r="DR100" s="371"/>
    </row>
    <row r="101" spans="1:122" ht="18.75" x14ac:dyDescent="0.3">
      <c r="A101" s="325" t="s">
        <v>1590</v>
      </c>
      <c r="B101" s="326">
        <v>67</v>
      </c>
      <c r="C101" s="327" t="s">
        <v>1591</v>
      </c>
      <c r="D101" s="424" t="s">
        <v>834</v>
      </c>
      <c r="E101" s="328"/>
      <c r="F101" s="173"/>
      <c r="G101" s="173"/>
      <c r="H101" s="373" t="s">
        <v>834</v>
      </c>
      <c r="I101" s="427"/>
      <c r="J101" s="173" t="s">
        <v>834</v>
      </c>
      <c r="K101" s="371" t="s">
        <v>1592</v>
      </c>
      <c r="L101" s="426" t="s">
        <v>834</v>
      </c>
      <c r="M101" s="427"/>
      <c r="N101" s="173" t="s">
        <v>834</v>
      </c>
      <c r="O101" s="171"/>
      <c r="P101" s="445" t="s">
        <v>834</v>
      </c>
      <c r="Q101" s="427" t="s">
        <v>1593</v>
      </c>
      <c r="R101" s="457">
        <v>0.39800000000000002</v>
      </c>
      <c r="S101" s="168" t="s">
        <v>837</v>
      </c>
      <c r="T101" s="428" t="s">
        <v>834</v>
      </c>
      <c r="U101" s="376"/>
      <c r="V101" s="441" t="s">
        <v>834</v>
      </c>
      <c r="W101" s="377" t="s">
        <v>992</v>
      </c>
      <c r="X101" s="167" t="s">
        <v>834</v>
      </c>
      <c r="Y101" s="168" t="s">
        <v>1534</v>
      </c>
      <c r="Z101" s="167">
        <v>4</v>
      </c>
      <c r="AA101" s="168"/>
      <c r="AB101" s="167" t="s">
        <v>834</v>
      </c>
      <c r="AC101" s="168"/>
      <c r="AD101" s="430" t="s">
        <v>834</v>
      </c>
      <c r="AE101" s="168"/>
      <c r="AF101" s="173" t="s">
        <v>834</v>
      </c>
      <c r="AG101" s="171"/>
      <c r="AH101" s="167" t="s">
        <v>834</v>
      </c>
      <c r="AI101" s="168" t="s">
        <v>1594</v>
      </c>
      <c r="AJ101" s="373" t="s">
        <v>834</v>
      </c>
      <c r="AK101" s="431"/>
      <c r="AL101" s="167" t="s">
        <v>834</v>
      </c>
      <c r="AM101" s="168"/>
      <c r="AN101" s="173" t="s">
        <v>834</v>
      </c>
      <c r="AO101" s="171"/>
      <c r="AP101" s="432" t="s">
        <v>834</v>
      </c>
      <c r="AQ101" s="168"/>
      <c r="AR101" s="173" t="s">
        <v>834</v>
      </c>
      <c r="AS101" s="171"/>
      <c r="AT101" s="173" t="s">
        <v>834</v>
      </c>
      <c r="AU101" s="171"/>
      <c r="AV101" s="381" t="s">
        <v>834</v>
      </c>
      <c r="AW101" s="167"/>
      <c r="AX101" s="443" t="s">
        <v>834</v>
      </c>
      <c r="AY101" s="427"/>
      <c r="AZ101" s="167" t="s">
        <v>834</v>
      </c>
      <c r="BA101" s="427"/>
      <c r="BB101" s="164" t="s">
        <v>834</v>
      </c>
      <c r="BC101" s="167" t="s">
        <v>1595</v>
      </c>
      <c r="BD101" s="464"/>
      <c r="BE101" s="427"/>
      <c r="BF101" s="384" t="s">
        <v>834</v>
      </c>
      <c r="BG101" s="168"/>
      <c r="BH101" s="432" t="s">
        <v>834</v>
      </c>
      <c r="BI101" s="167"/>
      <c r="BJ101" s="167"/>
      <c r="BK101" s="167"/>
      <c r="BL101" s="167" t="s">
        <v>834</v>
      </c>
      <c r="BM101" s="167"/>
      <c r="BN101" s="173">
        <v>5.125</v>
      </c>
      <c r="BO101" s="171"/>
      <c r="BP101" s="435" t="s">
        <v>834</v>
      </c>
      <c r="BQ101" s="436"/>
      <c r="BR101" s="167" t="s">
        <v>834</v>
      </c>
      <c r="BS101" s="167"/>
      <c r="BT101" s="167" t="s">
        <v>834</v>
      </c>
      <c r="BU101" s="167"/>
      <c r="BV101" s="167" t="s">
        <v>834</v>
      </c>
      <c r="BW101" s="167"/>
      <c r="BX101" s="437" t="s">
        <v>834</v>
      </c>
      <c r="BY101" s="171" t="s">
        <v>1596</v>
      </c>
      <c r="BZ101" s="432" t="s">
        <v>546</v>
      </c>
      <c r="CA101" s="168"/>
      <c r="CB101" s="167" t="s">
        <v>834</v>
      </c>
      <c r="CC101" s="167"/>
      <c r="CD101" s="173" t="s">
        <v>834</v>
      </c>
      <c r="CE101" s="171"/>
      <c r="CF101" s="167" t="s">
        <v>834</v>
      </c>
      <c r="CG101" s="175"/>
      <c r="CH101" s="167">
        <v>4.5</v>
      </c>
      <c r="CI101" s="168"/>
      <c r="CJ101" s="167" t="s">
        <v>834</v>
      </c>
      <c r="CK101" s="168"/>
      <c r="CL101" s="385" t="s">
        <v>834</v>
      </c>
      <c r="CM101" s="168"/>
      <c r="CN101" s="385" t="s">
        <v>834</v>
      </c>
      <c r="CO101" s="167"/>
      <c r="CP101" s="167" t="s">
        <v>834</v>
      </c>
      <c r="CQ101" s="167"/>
      <c r="CR101" s="373" t="s">
        <v>834</v>
      </c>
      <c r="CS101" s="373"/>
      <c r="CT101" s="432">
        <v>1.5</v>
      </c>
      <c r="CU101" s="168" t="s">
        <v>840</v>
      </c>
      <c r="CV101" s="432">
        <v>6</v>
      </c>
      <c r="CW101" s="168" t="s">
        <v>1597</v>
      </c>
      <c r="CX101" s="168" t="s">
        <v>834</v>
      </c>
      <c r="CY101" s="168"/>
      <c r="CZ101" s="173" t="s">
        <v>834</v>
      </c>
      <c r="DA101" s="171"/>
      <c r="DB101" s="371" t="s">
        <v>546</v>
      </c>
      <c r="DC101" s="371">
        <f t="shared" si="12"/>
        <v>6</v>
      </c>
      <c r="DD101" s="371"/>
      <c r="DE101" s="371"/>
      <c r="DF101" s="371"/>
      <c r="DG101" s="371"/>
      <c r="DH101" s="371"/>
      <c r="DI101" s="371"/>
      <c r="DJ101" s="371"/>
      <c r="DK101" s="371"/>
      <c r="DL101" s="371"/>
      <c r="DM101" s="371"/>
      <c r="DN101" s="371"/>
      <c r="DO101" s="371"/>
      <c r="DP101" s="371"/>
      <c r="DQ101" s="371"/>
      <c r="DR101" s="371"/>
    </row>
    <row r="102" spans="1:122" ht="18.75" x14ac:dyDescent="0.3">
      <c r="A102" s="325">
        <v>81143</v>
      </c>
      <c r="B102" s="326">
        <v>68</v>
      </c>
      <c r="C102" s="327" t="s">
        <v>1598</v>
      </c>
      <c r="D102" s="424" t="s">
        <v>834</v>
      </c>
      <c r="E102" s="328" t="s">
        <v>1599</v>
      </c>
      <c r="F102" s="173" t="s">
        <v>546</v>
      </c>
      <c r="G102" s="173"/>
      <c r="H102" s="373">
        <v>6.5</v>
      </c>
      <c r="I102" s="427"/>
      <c r="J102" s="173" t="s">
        <v>834</v>
      </c>
      <c r="K102" s="371"/>
      <c r="L102" s="426" t="s">
        <v>834</v>
      </c>
      <c r="M102" s="427" t="s">
        <v>1600</v>
      </c>
      <c r="N102" s="173" t="s">
        <v>834</v>
      </c>
      <c r="O102" s="171"/>
      <c r="P102" s="445" t="s">
        <v>834</v>
      </c>
      <c r="Q102" s="427"/>
      <c r="R102" s="457">
        <v>0.39800000000000002</v>
      </c>
      <c r="S102" s="168" t="s">
        <v>837</v>
      </c>
      <c r="T102" s="428">
        <v>5.75</v>
      </c>
      <c r="U102" s="376"/>
      <c r="V102" s="441">
        <v>6</v>
      </c>
      <c r="W102" s="377" t="s">
        <v>992</v>
      </c>
      <c r="X102" s="167" t="s">
        <v>834</v>
      </c>
      <c r="Y102" s="168" t="s">
        <v>856</v>
      </c>
      <c r="Z102" s="167">
        <v>4</v>
      </c>
      <c r="AA102" s="168"/>
      <c r="AB102" s="167" t="s">
        <v>834</v>
      </c>
      <c r="AC102" s="168"/>
      <c r="AD102" s="430" t="s">
        <v>834</v>
      </c>
      <c r="AE102" s="168"/>
      <c r="AF102" s="173" t="s">
        <v>834</v>
      </c>
      <c r="AG102" s="171"/>
      <c r="AH102" s="167">
        <v>6</v>
      </c>
      <c r="AI102" s="168"/>
      <c r="AJ102" s="373">
        <v>6.5</v>
      </c>
      <c r="AK102" s="431" t="s">
        <v>863</v>
      </c>
      <c r="AL102" s="167" t="s">
        <v>834</v>
      </c>
      <c r="AM102" s="168"/>
      <c r="AN102" s="173">
        <v>5</v>
      </c>
      <c r="AO102" s="171"/>
      <c r="AP102" s="432" t="s">
        <v>834</v>
      </c>
      <c r="AQ102" s="168"/>
      <c r="AR102" s="173" t="s">
        <v>834</v>
      </c>
      <c r="AS102" s="171"/>
      <c r="AT102" s="173" t="s">
        <v>834</v>
      </c>
      <c r="AU102" s="171"/>
      <c r="AV102" s="381" t="s">
        <v>834</v>
      </c>
      <c r="AW102" s="168" t="s">
        <v>1601</v>
      </c>
      <c r="AX102" s="443" t="s">
        <v>834</v>
      </c>
      <c r="AY102" s="427"/>
      <c r="AZ102" s="167">
        <v>7</v>
      </c>
      <c r="BA102" s="427"/>
      <c r="BB102" s="164" t="s">
        <v>834</v>
      </c>
      <c r="BC102" s="167"/>
      <c r="BD102" s="464"/>
      <c r="BE102" s="427"/>
      <c r="BF102" s="384">
        <v>5.5</v>
      </c>
      <c r="BG102" s="168" t="s">
        <v>1602</v>
      </c>
      <c r="BH102" s="432" t="s">
        <v>834</v>
      </c>
      <c r="BI102" s="167"/>
      <c r="BJ102" s="167"/>
      <c r="BK102" s="167"/>
      <c r="BL102" s="167" t="s">
        <v>834</v>
      </c>
      <c r="BM102" s="167"/>
      <c r="BN102" s="173">
        <v>5.125</v>
      </c>
      <c r="BO102" s="171"/>
      <c r="BP102" s="435" t="s">
        <v>834</v>
      </c>
      <c r="BQ102" s="436"/>
      <c r="BR102" s="385">
        <v>4.75</v>
      </c>
      <c r="BS102" s="168" t="s">
        <v>546</v>
      </c>
      <c r="BT102" s="167" t="s">
        <v>834</v>
      </c>
      <c r="BU102" s="168" t="s">
        <v>1603</v>
      </c>
      <c r="BV102" s="429">
        <v>5.75</v>
      </c>
      <c r="BW102" s="167"/>
      <c r="BX102" s="437" t="s">
        <v>834</v>
      </c>
      <c r="BY102" s="171"/>
      <c r="BZ102" s="432"/>
      <c r="CA102" s="168"/>
      <c r="CB102" s="167" t="s">
        <v>834</v>
      </c>
      <c r="CC102" s="167"/>
      <c r="CD102" s="173" t="s">
        <v>834</v>
      </c>
      <c r="CE102" s="171"/>
      <c r="CF102" s="167" t="s">
        <v>834</v>
      </c>
      <c r="CG102" s="175" t="s">
        <v>1604</v>
      </c>
      <c r="CH102" s="167">
        <v>4.5</v>
      </c>
      <c r="CI102" s="168"/>
      <c r="CJ102" s="167">
        <v>7</v>
      </c>
      <c r="CK102" s="168"/>
      <c r="CL102" s="385">
        <v>6.25</v>
      </c>
      <c r="CM102" s="168"/>
      <c r="CN102" s="385">
        <v>4.7</v>
      </c>
      <c r="CO102" s="167"/>
      <c r="CP102" s="167" t="s">
        <v>834</v>
      </c>
      <c r="CQ102" s="167"/>
      <c r="CR102" s="373" t="s">
        <v>834</v>
      </c>
      <c r="CS102" s="373"/>
      <c r="CT102" s="432">
        <v>6.5</v>
      </c>
      <c r="CU102" s="168" t="s">
        <v>938</v>
      </c>
      <c r="CV102" s="432">
        <v>6</v>
      </c>
      <c r="CW102" s="168"/>
      <c r="CX102" s="168">
        <v>5</v>
      </c>
      <c r="CY102" s="168"/>
      <c r="CZ102" s="173">
        <v>4</v>
      </c>
      <c r="DA102" s="171" t="s">
        <v>1605</v>
      </c>
      <c r="DB102" s="371" t="s">
        <v>546</v>
      </c>
      <c r="DC102" s="371">
        <f t="shared" si="12"/>
        <v>21</v>
      </c>
      <c r="DD102" s="371"/>
      <c r="DE102" s="371"/>
      <c r="DF102" s="371"/>
      <c r="DG102" s="371"/>
      <c r="DH102" s="371"/>
      <c r="DI102" s="371"/>
      <c r="DJ102" s="371"/>
      <c r="DK102" s="371"/>
      <c r="DL102" s="371"/>
      <c r="DM102" s="371"/>
      <c r="DN102" s="371"/>
      <c r="DO102" s="371"/>
      <c r="DP102" s="371"/>
      <c r="DQ102" s="371"/>
      <c r="DR102" s="371"/>
    </row>
    <row r="103" spans="1:122" ht="18.75" x14ac:dyDescent="0.3">
      <c r="A103" s="325">
        <v>56179</v>
      </c>
      <c r="B103" s="326">
        <v>69</v>
      </c>
      <c r="C103" s="327" t="s">
        <v>1606</v>
      </c>
      <c r="D103" s="424" t="s">
        <v>834</v>
      </c>
      <c r="E103" s="328"/>
      <c r="F103" s="173"/>
      <c r="G103" s="173"/>
      <c r="H103" s="373">
        <v>6.5</v>
      </c>
      <c r="I103" s="427"/>
      <c r="J103" s="173" t="s">
        <v>834</v>
      </c>
      <c r="K103" s="371"/>
      <c r="L103" s="426" t="s">
        <v>834</v>
      </c>
      <c r="M103" s="427"/>
      <c r="N103" s="173" t="s">
        <v>834</v>
      </c>
      <c r="O103" s="171"/>
      <c r="P103" s="445">
        <v>6.35</v>
      </c>
      <c r="Q103" s="427"/>
      <c r="R103" s="457">
        <v>0.39800000000000002</v>
      </c>
      <c r="S103" s="168" t="s">
        <v>837</v>
      </c>
      <c r="T103" s="428">
        <v>5.75</v>
      </c>
      <c r="U103" s="376"/>
      <c r="V103" s="441" t="s">
        <v>834</v>
      </c>
      <c r="W103" s="377" t="s">
        <v>1607</v>
      </c>
      <c r="X103" s="167" t="s">
        <v>834</v>
      </c>
      <c r="Y103" s="168" t="s">
        <v>856</v>
      </c>
      <c r="Z103" s="167">
        <v>4</v>
      </c>
      <c r="AA103" s="168"/>
      <c r="AB103" s="167" t="s">
        <v>834</v>
      </c>
      <c r="AC103" s="168"/>
      <c r="AD103" s="430" t="s">
        <v>834</v>
      </c>
      <c r="AE103" s="168"/>
      <c r="AF103" s="173" t="s">
        <v>834</v>
      </c>
      <c r="AG103" s="171"/>
      <c r="AH103" s="167">
        <v>6</v>
      </c>
      <c r="AI103" s="168"/>
      <c r="AJ103" s="425">
        <v>6.5</v>
      </c>
      <c r="AK103" s="431" t="s">
        <v>1608</v>
      </c>
      <c r="AL103" s="167" t="s">
        <v>834</v>
      </c>
      <c r="AM103" s="168"/>
      <c r="AN103" s="173" t="s">
        <v>834</v>
      </c>
      <c r="AO103" s="171"/>
      <c r="AP103" s="432" t="s">
        <v>834</v>
      </c>
      <c r="AQ103" s="168"/>
      <c r="AR103" s="173" t="s">
        <v>834</v>
      </c>
      <c r="AS103" s="171"/>
      <c r="AT103" s="173" t="s">
        <v>834</v>
      </c>
      <c r="AU103" s="171"/>
      <c r="AV103" s="381" t="s">
        <v>834</v>
      </c>
      <c r="AW103" s="167"/>
      <c r="AX103" s="443">
        <v>6.875</v>
      </c>
      <c r="AY103" s="427" t="s">
        <v>1609</v>
      </c>
      <c r="AZ103" s="167" t="s">
        <v>834</v>
      </c>
      <c r="BA103" s="454" t="s">
        <v>1610</v>
      </c>
      <c r="BB103" s="164" t="s">
        <v>834</v>
      </c>
      <c r="BC103" s="167"/>
      <c r="BD103" s="464"/>
      <c r="BE103" s="427"/>
      <c r="BF103" s="558">
        <v>5.5</v>
      </c>
      <c r="BG103" s="168" t="s">
        <v>1611</v>
      </c>
      <c r="BH103" s="432" t="s">
        <v>834</v>
      </c>
      <c r="BI103" s="167"/>
      <c r="BJ103" s="167"/>
      <c r="BK103" s="167"/>
      <c r="BL103" s="167">
        <v>6.875</v>
      </c>
      <c r="BM103" s="167"/>
      <c r="BN103" s="173">
        <v>5.125</v>
      </c>
      <c r="BO103" s="171"/>
      <c r="BP103" s="435">
        <v>4</v>
      </c>
      <c r="BQ103" s="436"/>
      <c r="BR103" s="385">
        <v>4.75</v>
      </c>
      <c r="BS103" s="167"/>
      <c r="BT103" s="167" t="s">
        <v>834</v>
      </c>
      <c r="BU103" s="167"/>
      <c r="BV103" s="429">
        <v>5.75</v>
      </c>
      <c r="BW103" s="168" t="s">
        <v>1612</v>
      </c>
      <c r="BX103" s="437" t="s">
        <v>834</v>
      </c>
      <c r="BY103" s="171"/>
      <c r="BZ103" s="432"/>
      <c r="CA103" s="168"/>
      <c r="CB103" s="167" t="s">
        <v>834</v>
      </c>
      <c r="CC103" s="168" t="s">
        <v>1613</v>
      </c>
      <c r="CD103" s="173" t="s">
        <v>834</v>
      </c>
      <c r="CE103" s="171"/>
      <c r="CF103" s="167" t="s">
        <v>834</v>
      </c>
      <c r="CG103" s="175"/>
      <c r="CH103" s="167">
        <v>4.5</v>
      </c>
      <c r="CI103" s="168"/>
      <c r="CJ103" s="167" t="s">
        <v>834</v>
      </c>
      <c r="CK103" s="444" t="s">
        <v>1614</v>
      </c>
      <c r="CL103" s="385">
        <v>6.25</v>
      </c>
      <c r="CM103" s="168"/>
      <c r="CN103" s="385" t="s">
        <v>834</v>
      </c>
      <c r="CO103" s="168" t="s">
        <v>1615</v>
      </c>
      <c r="CP103" s="167" t="s">
        <v>834</v>
      </c>
      <c r="CQ103" s="167"/>
      <c r="CR103" s="373" t="s">
        <v>834</v>
      </c>
      <c r="CS103" s="373"/>
      <c r="CT103" s="432">
        <v>6.5</v>
      </c>
      <c r="CU103" s="168" t="s">
        <v>938</v>
      </c>
      <c r="CV103" s="432">
        <v>6</v>
      </c>
      <c r="CW103" s="168"/>
      <c r="CX103" s="168">
        <v>5</v>
      </c>
      <c r="CY103" s="168"/>
      <c r="CZ103" s="173" t="s">
        <v>834</v>
      </c>
      <c r="DA103" s="171" t="s">
        <v>1616</v>
      </c>
      <c r="DB103" s="371" t="s">
        <v>546</v>
      </c>
      <c r="DC103" s="371">
        <f t="shared" si="12"/>
        <v>19</v>
      </c>
      <c r="DD103" s="371"/>
      <c r="DE103" s="371"/>
      <c r="DF103" s="371"/>
      <c r="DG103" s="371"/>
      <c r="DH103" s="371"/>
      <c r="DI103" s="371"/>
      <c r="DJ103" s="371"/>
      <c r="DK103" s="371"/>
      <c r="DL103" s="371"/>
      <c r="DM103" s="371"/>
      <c r="DN103" s="371"/>
      <c r="DO103" s="371"/>
      <c r="DP103" s="371"/>
      <c r="DQ103" s="371"/>
      <c r="DR103" s="371"/>
    </row>
    <row r="104" spans="1:122" ht="18.75" x14ac:dyDescent="0.3">
      <c r="A104" s="325">
        <v>541213</v>
      </c>
      <c r="B104" s="326">
        <v>70</v>
      </c>
      <c r="C104" s="327" t="s">
        <v>1617</v>
      </c>
      <c r="D104" s="424" t="s">
        <v>834</v>
      </c>
      <c r="E104" s="328"/>
      <c r="F104" s="173"/>
      <c r="G104" s="173"/>
      <c r="H104" s="373" t="s">
        <v>834</v>
      </c>
      <c r="I104" s="427"/>
      <c r="J104" s="173" t="s">
        <v>834</v>
      </c>
      <c r="K104" s="371"/>
      <c r="L104" s="426" t="s">
        <v>834</v>
      </c>
      <c r="M104" s="427"/>
      <c r="N104" s="173" t="s">
        <v>834</v>
      </c>
      <c r="O104" s="171"/>
      <c r="P104" s="445" t="s">
        <v>834</v>
      </c>
      <c r="Q104" s="427"/>
      <c r="R104" s="457">
        <v>0.39800000000000002</v>
      </c>
      <c r="S104" s="168" t="s">
        <v>837</v>
      </c>
      <c r="T104" s="428" t="s">
        <v>834</v>
      </c>
      <c r="U104" s="376"/>
      <c r="V104" s="441" t="s">
        <v>834</v>
      </c>
      <c r="W104" s="377" t="s">
        <v>992</v>
      </c>
      <c r="X104" s="167" t="s">
        <v>834</v>
      </c>
      <c r="Y104" s="168" t="s">
        <v>856</v>
      </c>
      <c r="Z104" s="167">
        <v>4</v>
      </c>
      <c r="AA104" s="168"/>
      <c r="AB104" s="167" t="s">
        <v>834</v>
      </c>
      <c r="AC104" s="168"/>
      <c r="AD104" s="430" t="s">
        <v>834</v>
      </c>
      <c r="AE104" s="168"/>
      <c r="AF104" s="173" t="s">
        <v>834</v>
      </c>
      <c r="AG104" s="171"/>
      <c r="AH104" s="167" t="s">
        <v>834</v>
      </c>
      <c r="AI104" s="168"/>
      <c r="AJ104" s="373" t="s">
        <v>834</v>
      </c>
      <c r="AK104" s="431"/>
      <c r="AL104" s="167" t="s">
        <v>834</v>
      </c>
      <c r="AM104" s="168"/>
      <c r="AN104" s="173" t="s">
        <v>834</v>
      </c>
      <c r="AO104" s="171"/>
      <c r="AP104" s="432" t="s">
        <v>834</v>
      </c>
      <c r="AQ104" s="168"/>
      <c r="AR104" s="173" t="s">
        <v>834</v>
      </c>
      <c r="AS104" s="171"/>
      <c r="AT104" s="173" t="s">
        <v>834</v>
      </c>
      <c r="AU104" s="171"/>
      <c r="AV104" s="381" t="s">
        <v>834</v>
      </c>
      <c r="AW104" s="168"/>
      <c r="AX104" s="443" t="s">
        <v>834</v>
      </c>
      <c r="AY104" s="427"/>
      <c r="AZ104" s="167" t="s">
        <v>834</v>
      </c>
      <c r="BA104" s="427"/>
      <c r="BB104" s="164" t="s">
        <v>834</v>
      </c>
      <c r="BC104" s="168"/>
      <c r="BD104" s="464"/>
      <c r="BE104" s="427"/>
      <c r="BF104" s="384" t="s">
        <v>834</v>
      </c>
      <c r="BG104" s="168"/>
      <c r="BH104" s="432" t="s">
        <v>834</v>
      </c>
      <c r="BI104" s="168"/>
      <c r="BJ104" s="167"/>
      <c r="BK104" s="167"/>
      <c r="BL104" s="167" t="s">
        <v>834</v>
      </c>
      <c r="BM104" s="168"/>
      <c r="BN104" s="173">
        <v>5.125</v>
      </c>
      <c r="BO104" s="171"/>
      <c r="BP104" s="435" t="s">
        <v>834</v>
      </c>
      <c r="BQ104" s="436"/>
      <c r="BR104" s="167" t="s">
        <v>834</v>
      </c>
      <c r="BS104" s="168"/>
      <c r="BT104" s="167" t="s">
        <v>834</v>
      </c>
      <c r="BU104" s="168"/>
      <c r="BV104" s="167" t="s">
        <v>834</v>
      </c>
      <c r="BW104" s="168"/>
      <c r="BX104" s="437" t="s">
        <v>834</v>
      </c>
      <c r="BY104" s="171"/>
      <c r="BZ104" s="432"/>
      <c r="CA104" s="168"/>
      <c r="CB104" s="167" t="s">
        <v>834</v>
      </c>
      <c r="CC104" s="168"/>
      <c r="CD104" s="173" t="s">
        <v>834</v>
      </c>
      <c r="CE104" s="171"/>
      <c r="CF104" s="167" t="s">
        <v>834</v>
      </c>
      <c r="CG104" s="175"/>
      <c r="CH104" s="167">
        <v>4.5</v>
      </c>
      <c r="CI104" s="168"/>
      <c r="CJ104" s="167" t="s">
        <v>834</v>
      </c>
      <c r="CK104" s="168"/>
      <c r="CL104" s="385" t="s">
        <v>834</v>
      </c>
      <c r="CM104" s="168"/>
      <c r="CN104" s="385" t="s">
        <v>834</v>
      </c>
      <c r="CO104" s="168"/>
      <c r="CP104" s="167" t="s">
        <v>834</v>
      </c>
      <c r="CQ104" s="168"/>
      <c r="CR104" s="373" t="s">
        <v>834</v>
      </c>
      <c r="CS104" s="427"/>
      <c r="CT104" s="455">
        <v>1.5</v>
      </c>
      <c r="CU104" s="168" t="s">
        <v>840</v>
      </c>
      <c r="CV104" s="432">
        <v>6</v>
      </c>
      <c r="CW104" s="168" t="s">
        <v>1618</v>
      </c>
      <c r="CX104" s="168" t="s">
        <v>834</v>
      </c>
      <c r="CY104" s="168"/>
      <c r="CZ104" s="173" t="s">
        <v>834</v>
      </c>
      <c r="DA104" s="171" t="s">
        <v>1619</v>
      </c>
      <c r="DB104" s="371" t="s">
        <v>546</v>
      </c>
      <c r="DC104" s="371">
        <f t="shared" si="12"/>
        <v>6</v>
      </c>
      <c r="DD104" s="371"/>
      <c r="DE104" s="371"/>
      <c r="DF104" s="371"/>
      <c r="DG104" s="371"/>
      <c r="DH104" s="371"/>
      <c r="DI104" s="371"/>
      <c r="DJ104" s="371"/>
      <c r="DK104" s="371"/>
      <c r="DL104" s="371"/>
      <c r="DM104" s="371"/>
      <c r="DN104" s="371"/>
      <c r="DO104" s="371"/>
      <c r="DP104" s="371"/>
      <c r="DQ104" s="371"/>
      <c r="DR104" s="371"/>
    </row>
    <row r="105" spans="1:122" ht="18.75" x14ac:dyDescent="0.3">
      <c r="A105" s="325">
        <v>53222</v>
      </c>
      <c r="B105" s="326">
        <v>71</v>
      </c>
      <c r="C105" s="327" t="s">
        <v>1620</v>
      </c>
      <c r="D105" s="424">
        <v>2</v>
      </c>
      <c r="E105" s="328" t="s">
        <v>1621</v>
      </c>
      <c r="F105" s="173" t="s">
        <v>546</v>
      </c>
      <c r="G105" s="173"/>
      <c r="H105" s="373">
        <v>7.5</v>
      </c>
      <c r="I105" s="427" t="s">
        <v>1622</v>
      </c>
      <c r="J105" s="173">
        <v>5.6</v>
      </c>
      <c r="K105" s="371" t="s">
        <v>1461</v>
      </c>
      <c r="L105" s="426">
        <v>7.25</v>
      </c>
      <c r="M105" s="427" t="s">
        <v>1623</v>
      </c>
      <c r="N105" s="173">
        <v>2.9</v>
      </c>
      <c r="O105" s="171"/>
      <c r="P105" s="445">
        <v>6.35</v>
      </c>
      <c r="Q105" s="427"/>
      <c r="R105" s="457">
        <v>0.29870000000000002</v>
      </c>
      <c r="S105" s="168" t="s">
        <v>1624</v>
      </c>
      <c r="T105" s="428">
        <v>5.75</v>
      </c>
      <c r="U105" s="376"/>
      <c r="V105" s="441">
        <v>6</v>
      </c>
      <c r="W105" s="377" t="s">
        <v>992</v>
      </c>
      <c r="X105" s="167">
        <v>4</v>
      </c>
      <c r="Y105" s="168"/>
      <c r="Z105" s="167">
        <v>4</v>
      </c>
      <c r="AA105" s="168"/>
      <c r="AB105" s="167">
        <v>6</v>
      </c>
      <c r="AC105" s="168"/>
      <c r="AD105" s="430" t="s">
        <v>995</v>
      </c>
      <c r="AE105" s="168" t="s">
        <v>1625</v>
      </c>
      <c r="AF105" s="173">
        <v>7</v>
      </c>
      <c r="AG105" s="171"/>
      <c r="AH105" s="167">
        <v>6</v>
      </c>
      <c r="AI105" s="168"/>
      <c r="AJ105" s="373">
        <v>6.5</v>
      </c>
      <c r="AK105" s="431" t="s">
        <v>863</v>
      </c>
      <c r="AL105" s="167">
        <v>6</v>
      </c>
      <c r="AM105" s="168" t="s">
        <v>1626</v>
      </c>
      <c r="AN105" s="173">
        <v>5</v>
      </c>
      <c r="AO105" s="171"/>
      <c r="AP105" s="432" t="s">
        <v>834</v>
      </c>
      <c r="AQ105" s="168"/>
      <c r="AR105" s="173">
        <v>6</v>
      </c>
      <c r="AS105" s="171"/>
      <c r="AT105" s="173" t="s">
        <v>834</v>
      </c>
      <c r="AU105" s="171" t="s">
        <v>1627</v>
      </c>
      <c r="AV105" s="458">
        <v>6</v>
      </c>
      <c r="AW105" s="168" t="s">
        <v>1628</v>
      </c>
      <c r="AX105" s="443">
        <v>6.875</v>
      </c>
      <c r="AY105" s="427" t="s">
        <v>1629</v>
      </c>
      <c r="AZ105" s="167">
        <v>7</v>
      </c>
      <c r="BA105" s="427"/>
      <c r="BB105" s="164" t="s">
        <v>834</v>
      </c>
      <c r="BC105" s="168" t="s">
        <v>1630</v>
      </c>
      <c r="BD105" s="464" t="s">
        <v>546</v>
      </c>
      <c r="BE105" s="427"/>
      <c r="BF105" s="384">
        <v>5.5</v>
      </c>
      <c r="BG105" s="168"/>
      <c r="BH105" s="442">
        <v>6.85</v>
      </c>
      <c r="BI105" s="168" t="s">
        <v>1631</v>
      </c>
      <c r="BJ105" s="167" t="s">
        <v>546</v>
      </c>
      <c r="BK105" s="167"/>
      <c r="BL105" s="167" t="s">
        <v>834</v>
      </c>
      <c r="BM105" s="168"/>
      <c r="BN105" s="173">
        <v>5.125</v>
      </c>
      <c r="BO105" s="171"/>
      <c r="BP105" s="435">
        <v>4</v>
      </c>
      <c r="BQ105" s="436"/>
      <c r="BR105" s="385">
        <v>4.75</v>
      </c>
      <c r="BS105" s="168"/>
      <c r="BT105" s="167">
        <v>5</v>
      </c>
      <c r="BU105" s="168" t="s">
        <v>1632</v>
      </c>
      <c r="BV105" s="429">
        <v>5.75</v>
      </c>
      <c r="BW105" s="168"/>
      <c r="BX105" s="437">
        <v>4.5</v>
      </c>
      <c r="BY105" s="171"/>
      <c r="BZ105" s="432"/>
      <c r="CA105" s="168"/>
      <c r="CB105" s="167">
        <v>6</v>
      </c>
      <c r="CC105" s="168"/>
      <c r="CD105" s="173" t="s">
        <v>834</v>
      </c>
      <c r="CE105" s="171"/>
      <c r="CF105" s="167">
        <v>6</v>
      </c>
      <c r="CG105" s="168"/>
      <c r="CH105" s="167">
        <v>4.5</v>
      </c>
      <c r="CI105" s="168"/>
      <c r="CJ105" s="167">
        <v>7</v>
      </c>
      <c r="CK105" s="168"/>
      <c r="CL105" s="385">
        <v>6.25</v>
      </c>
      <c r="CM105" s="168"/>
      <c r="CN105" s="385">
        <v>4.7</v>
      </c>
      <c r="CO105" s="168"/>
      <c r="CP105" s="167" t="s">
        <v>834</v>
      </c>
      <c r="CQ105" s="168"/>
      <c r="CR105" s="373">
        <v>5.3</v>
      </c>
      <c r="CS105" s="427"/>
      <c r="CT105" s="432">
        <v>6.5</v>
      </c>
      <c r="CU105" s="168" t="s">
        <v>938</v>
      </c>
      <c r="CV105" s="432">
        <v>6</v>
      </c>
      <c r="CW105" s="168"/>
      <c r="CX105" s="168">
        <v>5</v>
      </c>
      <c r="CY105" s="168"/>
      <c r="CZ105" s="173">
        <v>4</v>
      </c>
      <c r="DA105" s="171" t="s">
        <v>1633</v>
      </c>
      <c r="DB105" s="371" t="s">
        <v>546</v>
      </c>
      <c r="DC105" s="371">
        <f t="shared" si="12"/>
        <v>40</v>
      </c>
      <c r="DD105" s="371"/>
      <c r="DE105" s="371"/>
      <c r="DF105" s="371"/>
      <c r="DG105" s="371"/>
      <c r="DH105" s="371"/>
      <c r="DI105" s="371"/>
      <c r="DJ105" s="371"/>
      <c r="DK105" s="371"/>
      <c r="DL105" s="371"/>
      <c r="DM105" s="371"/>
      <c r="DN105" s="371"/>
      <c r="DO105" s="371"/>
      <c r="DP105" s="371"/>
      <c r="DQ105" s="371"/>
      <c r="DR105" s="371"/>
    </row>
    <row r="106" spans="1:122" ht="18.75" x14ac:dyDescent="0.3">
      <c r="A106" s="325">
        <v>56199</v>
      </c>
      <c r="B106" s="326">
        <v>72</v>
      </c>
      <c r="C106" s="327" t="s">
        <v>1634</v>
      </c>
      <c r="D106" s="424" t="s">
        <v>834</v>
      </c>
      <c r="E106" s="328"/>
      <c r="F106" s="173"/>
      <c r="G106" s="173"/>
      <c r="H106" s="373" t="s">
        <v>834</v>
      </c>
      <c r="I106" s="427"/>
      <c r="J106" s="173" t="s">
        <v>834</v>
      </c>
      <c r="K106" s="371"/>
      <c r="L106" s="426" t="s">
        <v>834</v>
      </c>
      <c r="M106" s="427" t="s">
        <v>1635</v>
      </c>
      <c r="N106" s="173" t="s">
        <v>834</v>
      </c>
      <c r="O106" s="171"/>
      <c r="P106" s="445" t="s">
        <v>834</v>
      </c>
      <c r="Q106" s="427"/>
      <c r="R106" s="457">
        <v>0.39800000000000002</v>
      </c>
      <c r="S106" s="168" t="s">
        <v>837</v>
      </c>
      <c r="T106" s="428" t="s">
        <v>834</v>
      </c>
      <c r="U106" s="376"/>
      <c r="V106" s="441" t="s">
        <v>834</v>
      </c>
      <c r="W106" s="377" t="s">
        <v>992</v>
      </c>
      <c r="X106" s="167" t="s">
        <v>834</v>
      </c>
      <c r="Y106" s="168" t="s">
        <v>856</v>
      </c>
      <c r="Z106" s="167">
        <v>4</v>
      </c>
      <c r="AA106" s="168"/>
      <c r="AB106" s="167" t="s">
        <v>834</v>
      </c>
      <c r="AC106" s="168" t="s">
        <v>1636</v>
      </c>
      <c r="AD106" s="430" t="s">
        <v>834</v>
      </c>
      <c r="AE106" s="168"/>
      <c r="AF106" s="173">
        <v>7</v>
      </c>
      <c r="AG106" s="171"/>
      <c r="AH106" s="167">
        <v>6</v>
      </c>
      <c r="AI106" s="168"/>
      <c r="AJ106" s="373">
        <v>6.5</v>
      </c>
      <c r="AK106" s="431" t="s">
        <v>863</v>
      </c>
      <c r="AL106" s="167" t="s">
        <v>834</v>
      </c>
      <c r="AM106" s="168"/>
      <c r="AN106" s="173" t="s">
        <v>834</v>
      </c>
      <c r="AO106" s="171" t="s">
        <v>1637</v>
      </c>
      <c r="AP106" s="432" t="s">
        <v>834</v>
      </c>
      <c r="AQ106" s="168"/>
      <c r="AR106" s="173" t="s">
        <v>834</v>
      </c>
      <c r="AS106" s="171" t="s">
        <v>1638</v>
      </c>
      <c r="AT106" s="173" t="s">
        <v>834</v>
      </c>
      <c r="AU106" s="171"/>
      <c r="AV106" s="381">
        <v>6</v>
      </c>
      <c r="AW106" s="168"/>
      <c r="AX106" s="443" t="s">
        <v>834</v>
      </c>
      <c r="AY106" s="427" t="s">
        <v>1639</v>
      </c>
      <c r="AZ106" s="167" t="s">
        <v>834</v>
      </c>
      <c r="BA106" s="427"/>
      <c r="BB106" s="164" t="s">
        <v>834</v>
      </c>
      <c r="BC106" s="167"/>
      <c r="BD106" s="464"/>
      <c r="BE106" s="427"/>
      <c r="BF106" s="384">
        <v>5.5</v>
      </c>
      <c r="BG106" s="168"/>
      <c r="BH106" s="432" t="s">
        <v>834</v>
      </c>
      <c r="BI106" s="167"/>
      <c r="BJ106" s="167"/>
      <c r="BK106" s="167"/>
      <c r="BL106" s="167" t="s">
        <v>834</v>
      </c>
      <c r="BM106" s="168" t="s">
        <v>1640</v>
      </c>
      <c r="BN106" s="173">
        <v>5.125</v>
      </c>
      <c r="BO106" s="171"/>
      <c r="BP106" s="466">
        <v>4</v>
      </c>
      <c r="BQ106" s="436"/>
      <c r="BR106" s="385">
        <v>4.75</v>
      </c>
      <c r="BS106" s="167"/>
      <c r="BT106" s="167" t="s">
        <v>834</v>
      </c>
      <c r="BU106" s="168" t="s">
        <v>1641</v>
      </c>
      <c r="BV106" s="167" t="s">
        <v>834</v>
      </c>
      <c r="BW106" s="168" t="s">
        <v>1642</v>
      </c>
      <c r="BX106" s="437" t="s">
        <v>834</v>
      </c>
      <c r="BY106" s="171" t="s">
        <v>1643</v>
      </c>
      <c r="BZ106" s="432" t="s">
        <v>546</v>
      </c>
      <c r="CA106" s="168"/>
      <c r="CB106" s="167">
        <v>6</v>
      </c>
      <c r="CC106" s="167"/>
      <c r="CD106" s="173" t="s">
        <v>834</v>
      </c>
      <c r="CE106" s="171"/>
      <c r="CF106" s="167" t="s">
        <v>834</v>
      </c>
      <c r="CG106" s="175"/>
      <c r="CH106" s="167">
        <v>4.5</v>
      </c>
      <c r="CI106" s="168"/>
      <c r="CJ106" s="167" t="s">
        <v>834</v>
      </c>
      <c r="CK106" s="175" t="s">
        <v>1644</v>
      </c>
      <c r="CL106" s="445" t="s">
        <v>834</v>
      </c>
      <c r="CM106" s="168" t="s">
        <v>1645</v>
      </c>
      <c r="CN106" s="385" t="s">
        <v>834</v>
      </c>
      <c r="CO106" s="168" t="s">
        <v>1646</v>
      </c>
      <c r="CP106" s="167" t="s">
        <v>834</v>
      </c>
      <c r="CQ106" s="167"/>
      <c r="CR106" s="373" t="s">
        <v>834</v>
      </c>
      <c r="CS106" s="373"/>
      <c r="CT106" s="432">
        <v>6.5</v>
      </c>
      <c r="CU106" s="168" t="s">
        <v>938</v>
      </c>
      <c r="CV106" s="432">
        <v>6</v>
      </c>
      <c r="CW106" s="168"/>
      <c r="CX106" s="168">
        <v>5</v>
      </c>
      <c r="CY106" s="168" t="s">
        <v>1647</v>
      </c>
      <c r="CZ106" s="173">
        <v>4</v>
      </c>
      <c r="DA106" s="171" t="s">
        <v>1648</v>
      </c>
      <c r="DB106" s="371" t="s">
        <v>546</v>
      </c>
      <c r="DC106" s="371">
        <f t="shared" si="12"/>
        <v>16</v>
      </c>
      <c r="DD106" s="371"/>
      <c r="DE106" s="371"/>
      <c r="DF106" s="371"/>
      <c r="DG106" s="371"/>
      <c r="DH106" s="371"/>
      <c r="DI106" s="371"/>
      <c r="DJ106" s="371"/>
      <c r="DK106" s="371"/>
      <c r="DL106" s="371"/>
      <c r="DM106" s="371"/>
      <c r="DN106" s="371"/>
      <c r="DO106" s="371"/>
      <c r="DP106" s="371"/>
      <c r="DQ106" s="371"/>
      <c r="DR106" s="371"/>
    </row>
    <row r="107" spans="1:122" ht="18.75" x14ac:dyDescent="0.3">
      <c r="A107" s="325"/>
      <c r="B107" s="326"/>
      <c r="C107" s="456"/>
      <c r="D107" s="424"/>
      <c r="E107" s="328"/>
      <c r="F107" s="173"/>
      <c r="G107" s="173"/>
      <c r="H107" s="373"/>
      <c r="I107" s="427"/>
      <c r="J107" s="173"/>
      <c r="K107" s="371"/>
      <c r="L107" s="426"/>
      <c r="M107" s="427"/>
      <c r="N107" s="173"/>
      <c r="O107" s="171"/>
      <c r="P107" s="385"/>
      <c r="Q107" s="427"/>
      <c r="R107" s="374"/>
      <c r="S107" s="168"/>
      <c r="T107" s="428"/>
      <c r="U107" s="376"/>
      <c r="V107" s="429"/>
      <c r="W107" s="377"/>
      <c r="X107" s="167"/>
      <c r="Y107" s="168"/>
      <c r="Z107" s="167"/>
      <c r="AA107" s="168"/>
      <c r="AB107" s="167"/>
      <c r="AC107" s="168"/>
      <c r="AD107" s="430" t="s">
        <v>546</v>
      </c>
      <c r="AE107" s="168"/>
      <c r="AF107" s="173"/>
      <c r="AG107" s="171"/>
      <c r="AH107" s="167"/>
      <c r="AI107" s="168"/>
      <c r="AJ107" s="373"/>
      <c r="AK107" s="431"/>
      <c r="AL107" s="167"/>
      <c r="AM107" s="168"/>
      <c r="AN107" s="173"/>
      <c r="AO107" s="171"/>
      <c r="AP107" s="432"/>
      <c r="AQ107" s="168"/>
      <c r="AR107" s="173"/>
      <c r="AS107" s="171"/>
      <c r="AT107" s="173"/>
      <c r="AU107" s="171"/>
      <c r="AV107" s="381"/>
      <c r="AW107" s="168"/>
      <c r="AX107" s="433"/>
      <c r="AY107" s="427"/>
      <c r="AZ107" s="167"/>
      <c r="BA107" s="427"/>
      <c r="BB107" s="164"/>
      <c r="BC107" s="168"/>
      <c r="BD107" s="464"/>
      <c r="BE107" s="427"/>
      <c r="BF107" s="384"/>
      <c r="BG107" s="168"/>
      <c r="BH107" s="432"/>
      <c r="BI107" s="168"/>
      <c r="BJ107" s="167"/>
      <c r="BK107" s="167"/>
      <c r="BL107" s="167"/>
      <c r="BM107" s="168"/>
      <c r="BN107" s="173"/>
      <c r="BO107" s="171"/>
      <c r="BP107" s="435"/>
      <c r="BQ107" s="436"/>
      <c r="BR107" s="167"/>
      <c r="BS107" s="168"/>
      <c r="BT107" s="167"/>
      <c r="BU107" s="168"/>
      <c r="BV107" s="167"/>
      <c r="BW107" s="168"/>
      <c r="BX107" s="437"/>
      <c r="BY107" s="171"/>
      <c r="BZ107" s="432"/>
      <c r="CA107" s="168"/>
      <c r="CB107" s="167"/>
      <c r="CC107" s="168"/>
      <c r="CD107" s="173"/>
      <c r="CE107" s="171"/>
      <c r="CF107" s="167"/>
      <c r="CG107" s="175"/>
      <c r="CH107" s="167"/>
      <c r="CI107" s="168"/>
      <c r="CJ107" s="167"/>
      <c r="CK107" s="168"/>
      <c r="CL107" s="385"/>
      <c r="CM107" s="168"/>
      <c r="CN107" s="385"/>
      <c r="CO107" s="168"/>
      <c r="CP107" s="167"/>
      <c r="CQ107" s="168"/>
      <c r="CR107" s="373"/>
      <c r="CS107" s="427"/>
      <c r="CT107" s="432"/>
      <c r="CU107" s="168"/>
      <c r="CV107" s="432"/>
      <c r="CW107" s="168"/>
      <c r="CX107" s="168"/>
      <c r="CY107" s="168"/>
      <c r="CZ107" s="173"/>
      <c r="DA107" s="171"/>
      <c r="DB107" s="371"/>
      <c r="DC107" s="371"/>
      <c r="DD107" s="371"/>
      <c r="DE107" s="371"/>
      <c r="DF107" s="371"/>
      <c r="DG107" s="371"/>
      <c r="DH107" s="371"/>
      <c r="DI107" s="371"/>
      <c r="DJ107" s="371"/>
      <c r="DK107" s="371"/>
      <c r="DL107" s="371"/>
      <c r="DM107" s="371"/>
      <c r="DN107" s="371"/>
      <c r="DO107" s="371"/>
      <c r="DP107" s="371"/>
      <c r="DQ107" s="371"/>
      <c r="DR107" s="371"/>
    </row>
    <row r="108" spans="1:122" ht="18.75" x14ac:dyDescent="0.3">
      <c r="A108" s="389"/>
      <c r="B108" s="390"/>
      <c r="C108" s="391" t="s">
        <v>1649</v>
      </c>
      <c r="D108" s="392" t="s">
        <v>832</v>
      </c>
      <c r="E108" s="393"/>
      <c r="F108" s="394" t="s">
        <v>832</v>
      </c>
      <c r="G108" s="394"/>
      <c r="H108" s="394" t="s">
        <v>832</v>
      </c>
      <c r="I108" s="401"/>
      <c r="J108" s="438" t="s">
        <v>832</v>
      </c>
      <c r="K108" s="397"/>
      <c r="L108" s="438" t="s">
        <v>832</v>
      </c>
      <c r="M108" s="401"/>
      <c r="N108" s="400" t="s">
        <v>832</v>
      </c>
      <c r="O108" s="172"/>
      <c r="P108" s="400" t="s">
        <v>832</v>
      </c>
      <c r="Q108" s="401"/>
      <c r="R108" s="400" t="s">
        <v>832</v>
      </c>
      <c r="S108" s="170"/>
      <c r="T108" s="400" t="s">
        <v>832</v>
      </c>
      <c r="U108" s="404"/>
      <c r="V108" s="400" t="s">
        <v>832</v>
      </c>
      <c r="W108" s="406"/>
      <c r="X108" s="400" t="s">
        <v>832</v>
      </c>
      <c r="Y108" s="170"/>
      <c r="Z108" s="400" t="s">
        <v>832</v>
      </c>
      <c r="AA108" s="170"/>
      <c r="AB108" s="400" t="s">
        <v>832</v>
      </c>
      <c r="AC108" s="170"/>
      <c r="AD108" s="408" t="s">
        <v>832</v>
      </c>
      <c r="AE108" s="170"/>
      <c r="AF108" s="408" t="s">
        <v>832</v>
      </c>
      <c r="AG108" s="172"/>
      <c r="AH108" s="408" t="s">
        <v>832</v>
      </c>
      <c r="AI108" s="170"/>
      <c r="AJ108" s="408" t="s">
        <v>832</v>
      </c>
      <c r="AK108" s="409"/>
      <c r="AL108" s="408" t="s">
        <v>832</v>
      </c>
      <c r="AM108" s="170"/>
      <c r="AN108" s="491" t="s">
        <v>832</v>
      </c>
      <c r="AO108" s="172"/>
      <c r="AP108" s="408" t="s">
        <v>832</v>
      </c>
      <c r="AQ108" s="170"/>
      <c r="AR108" s="438" t="s">
        <v>832</v>
      </c>
      <c r="AS108" s="172"/>
      <c r="AT108" s="438" t="s">
        <v>832</v>
      </c>
      <c r="AU108" s="172"/>
      <c r="AV108" s="408" t="s">
        <v>832</v>
      </c>
      <c r="AW108" s="170"/>
      <c r="AX108" s="408" t="s">
        <v>832</v>
      </c>
      <c r="AY108" s="401"/>
      <c r="AZ108" s="407" t="s">
        <v>832</v>
      </c>
      <c r="BA108" s="401"/>
      <c r="BB108" s="408" t="s">
        <v>832</v>
      </c>
      <c r="BC108" s="170"/>
      <c r="BD108" s="407" t="s">
        <v>832</v>
      </c>
      <c r="BE108" s="401"/>
      <c r="BF108" s="407" t="s">
        <v>832</v>
      </c>
      <c r="BG108" s="170"/>
      <c r="BH108" s="408" t="s">
        <v>832</v>
      </c>
      <c r="BI108" s="170"/>
      <c r="BJ108" s="407" t="s">
        <v>832</v>
      </c>
      <c r="BK108" s="407"/>
      <c r="BL108" s="408" t="s">
        <v>832</v>
      </c>
      <c r="BM108" s="170"/>
      <c r="BN108" s="438" t="s">
        <v>832</v>
      </c>
      <c r="BO108" s="172"/>
      <c r="BP108" s="408" t="s">
        <v>832</v>
      </c>
      <c r="BQ108" s="419"/>
      <c r="BR108" s="407" t="s">
        <v>832</v>
      </c>
      <c r="BS108" s="170"/>
      <c r="BT108" s="408" t="s">
        <v>832</v>
      </c>
      <c r="BU108" s="170"/>
      <c r="BV108" s="407" t="s">
        <v>832</v>
      </c>
      <c r="BW108" s="170"/>
      <c r="BX108" s="438" t="s">
        <v>832</v>
      </c>
      <c r="BY108" s="172"/>
      <c r="BZ108" s="408" t="s">
        <v>832</v>
      </c>
      <c r="CA108" s="170"/>
      <c r="CB108" s="408" t="s">
        <v>832</v>
      </c>
      <c r="CC108" s="170"/>
      <c r="CD108" s="407" t="s">
        <v>832</v>
      </c>
      <c r="CE108" s="172"/>
      <c r="CF108" s="408" t="s">
        <v>832</v>
      </c>
      <c r="CG108" s="399"/>
      <c r="CH108" s="408" t="s">
        <v>832</v>
      </c>
      <c r="CI108" s="170"/>
      <c r="CJ108" s="408" t="s">
        <v>832</v>
      </c>
      <c r="CK108" s="170"/>
      <c r="CL108" s="408" t="s">
        <v>832</v>
      </c>
      <c r="CM108" s="170"/>
      <c r="CN108" s="407" t="s">
        <v>832</v>
      </c>
      <c r="CO108" s="170"/>
      <c r="CP108" s="408" t="s">
        <v>832</v>
      </c>
      <c r="CQ108" s="170"/>
      <c r="CR108" s="408" t="s">
        <v>832</v>
      </c>
      <c r="CS108" s="401"/>
      <c r="CT108" s="408" t="s">
        <v>832</v>
      </c>
      <c r="CU108" s="170"/>
      <c r="CV108" s="407" t="s">
        <v>832</v>
      </c>
      <c r="CW108" s="170"/>
      <c r="CX108" s="407" t="s">
        <v>832</v>
      </c>
      <c r="CY108" s="170"/>
      <c r="CZ108" s="408" t="s">
        <v>832</v>
      </c>
      <c r="DA108" s="172"/>
      <c r="DB108" s="397"/>
      <c r="DC108" s="397"/>
      <c r="DD108" s="397"/>
      <c r="DE108" s="397"/>
      <c r="DF108" s="397"/>
      <c r="DG108" s="397"/>
      <c r="DH108" s="397"/>
      <c r="DI108" s="397"/>
      <c r="DJ108" s="397"/>
      <c r="DK108" s="397"/>
      <c r="DL108" s="397"/>
      <c r="DM108" s="397"/>
      <c r="DN108" s="397"/>
      <c r="DO108" s="397"/>
      <c r="DP108" s="397"/>
      <c r="DQ108" s="397"/>
      <c r="DR108" s="397"/>
    </row>
    <row r="109" spans="1:122" ht="18.75" x14ac:dyDescent="0.3">
      <c r="A109" s="325"/>
      <c r="B109" s="326"/>
      <c r="C109" s="327" t="s">
        <v>1650</v>
      </c>
      <c r="D109" s="424" t="s">
        <v>546</v>
      </c>
      <c r="E109" s="328"/>
      <c r="F109" s="173"/>
      <c r="G109" s="173"/>
      <c r="H109" s="373"/>
      <c r="I109" s="427"/>
      <c r="J109" s="173"/>
      <c r="K109" s="371"/>
      <c r="L109" s="426"/>
      <c r="M109" s="431"/>
      <c r="N109" s="173"/>
      <c r="O109" s="171"/>
      <c r="P109" s="385"/>
      <c r="Q109" s="427"/>
      <c r="R109" s="374"/>
      <c r="S109" s="168"/>
      <c r="T109" s="428"/>
      <c r="U109" s="376"/>
      <c r="V109" s="429"/>
      <c r="W109" s="377"/>
      <c r="X109" s="167"/>
      <c r="Y109" s="168"/>
      <c r="Z109" s="167" t="s">
        <v>546</v>
      </c>
      <c r="AA109" s="168"/>
      <c r="AB109" s="167"/>
      <c r="AC109" s="168"/>
      <c r="AD109" s="430" t="s">
        <v>546</v>
      </c>
      <c r="AE109" s="168"/>
      <c r="AF109" s="173"/>
      <c r="AG109" s="171"/>
      <c r="AH109" s="167"/>
      <c r="AI109" s="168"/>
      <c r="AJ109" s="373"/>
      <c r="AK109" s="431"/>
      <c r="AL109" s="167"/>
      <c r="AM109" s="168"/>
      <c r="AN109" s="173"/>
      <c r="AO109" s="171"/>
      <c r="AP109" s="432"/>
      <c r="AQ109" s="168"/>
      <c r="AR109" s="173"/>
      <c r="AS109" s="171"/>
      <c r="AT109" s="173"/>
      <c r="AU109" s="171"/>
      <c r="AV109" s="381"/>
      <c r="AW109" s="168"/>
      <c r="AX109" s="433"/>
      <c r="AY109" s="427"/>
      <c r="AZ109" s="167"/>
      <c r="BA109" s="427"/>
      <c r="BB109" s="164"/>
      <c r="BC109" s="168"/>
      <c r="BD109" s="464"/>
      <c r="BE109" s="427"/>
      <c r="BF109" s="384"/>
      <c r="BG109" s="168"/>
      <c r="BH109" s="432"/>
      <c r="BI109" s="168"/>
      <c r="BJ109" s="167"/>
      <c r="BK109" s="167"/>
      <c r="BL109" s="167"/>
      <c r="BM109" s="168"/>
      <c r="BN109" s="173"/>
      <c r="BO109" s="171"/>
      <c r="BP109" s="435"/>
      <c r="BQ109" s="436"/>
      <c r="BR109" s="167"/>
      <c r="BS109" s="168"/>
      <c r="BT109" s="167"/>
      <c r="BU109" s="168"/>
      <c r="BV109" s="167"/>
      <c r="BW109" s="168"/>
      <c r="BX109" s="437"/>
      <c r="BY109" s="171"/>
      <c r="BZ109" s="432"/>
      <c r="CA109" s="168"/>
      <c r="CB109" s="167"/>
      <c r="CC109" s="168"/>
      <c r="CD109" s="173"/>
      <c r="CE109" s="171"/>
      <c r="CF109" s="167"/>
      <c r="CG109" s="175"/>
      <c r="CH109" s="167"/>
      <c r="CI109" s="168"/>
      <c r="CJ109" s="167"/>
      <c r="CK109" s="168"/>
      <c r="CL109" s="385"/>
      <c r="CM109" s="168"/>
      <c r="CN109" s="385"/>
      <c r="CO109" s="168"/>
      <c r="CP109" s="167"/>
      <c r="CQ109" s="168"/>
      <c r="CR109" s="373"/>
      <c r="CS109" s="427"/>
      <c r="CT109" s="432"/>
      <c r="CU109" s="168"/>
      <c r="CV109" s="432"/>
      <c r="CW109" s="168"/>
      <c r="CX109" s="168"/>
      <c r="CY109" s="168"/>
      <c r="CZ109" s="173"/>
      <c r="DA109" s="171"/>
      <c r="DB109" s="371"/>
      <c r="DC109" s="371"/>
      <c r="DD109" s="371"/>
      <c r="DE109" s="371"/>
      <c r="DF109" s="371"/>
      <c r="DG109" s="371"/>
      <c r="DH109" s="371"/>
      <c r="DI109" s="371"/>
      <c r="DJ109" s="371"/>
      <c r="DK109" s="371"/>
      <c r="DL109" s="371"/>
      <c r="DM109" s="371"/>
      <c r="DN109" s="371"/>
      <c r="DO109" s="371"/>
      <c r="DP109" s="371"/>
      <c r="DQ109" s="371"/>
      <c r="DR109" s="371"/>
    </row>
    <row r="110" spans="1:122" ht="18.75" x14ac:dyDescent="0.3">
      <c r="A110" s="325">
        <v>54185</v>
      </c>
      <c r="B110" s="326">
        <v>73</v>
      </c>
      <c r="C110" s="327" t="s">
        <v>1651</v>
      </c>
      <c r="D110" s="424" t="s">
        <v>834</v>
      </c>
      <c r="E110" s="328"/>
      <c r="F110" s="173" t="s">
        <v>546</v>
      </c>
      <c r="G110" s="173"/>
      <c r="H110" s="373" t="s">
        <v>834</v>
      </c>
      <c r="I110" s="427"/>
      <c r="J110" s="173" t="s">
        <v>834</v>
      </c>
      <c r="K110" s="371" t="s">
        <v>1652</v>
      </c>
      <c r="L110" s="426" t="s">
        <v>834</v>
      </c>
      <c r="M110" s="427"/>
      <c r="N110" s="173" t="s">
        <v>834</v>
      </c>
      <c r="O110" s="171"/>
      <c r="P110" s="445" t="s">
        <v>834</v>
      </c>
      <c r="Q110" s="427"/>
      <c r="R110" s="457">
        <v>0.39800000000000002</v>
      </c>
      <c r="S110" s="168" t="s">
        <v>837</v>
      </c>
      <c r="T110" s="428" t="s">
        <v>834</v>
      </c>
      <c r="U110" s="376" t="s">
        <v>1653</v>
      </c>
      <c r="V110" s="441" t="s">
        <v>834</v>
      </c>
      <c r="W110" s="377" t="s">
        <v>1654</v>
      </c>
      <c r="X110" s="167" t="s">
        <v>834</v>
      </c>
      <c r="Y110" s="168" t="s">
        <v>546</v>
      </c>
      <c r="Z110" s="167">
        <v>4</v>
      </c>
      <c r="AA110" s="168"/>
      <c r="AB110" s="167" t="s">
        <v>834</v>
      </c>
      <c r="AC110" s="168"/>
      <c r="AD110" s="430" t="s">
        <v>834</v>
      </c>
      <c r="AE110" s="168"/>
      <c r="AF110" s="173" t="s">
        <v>834</v>
      </c>
      <c r="AG110" s="171"/>
      <c r="AH110" s="167" t="s">
        <v>834</v>
      </c>
      <c r="AI110" s="168"/>
      <c r="AJ110" s="373" t="s">
        <v>834</v>
      </c>
      <c r="AK110" s="431"/>
      <c r="AL110" s="167" t="s">
        <v>834</v>
      </c>
      <c r="AM110" s="168"/>
      <c r="AN110" s="173" t="s">
        <v>834</v>
      </c>
      <c r="AO110" s="171"/>
      <c r="AP110" s="432" t="s">
        <v>834</v>
      </c>
      <c r="AQ110" s="168"/>
      <c r="AR110" s="173" t="s">
        <v>834</v>
      </c>
      <c r="AS110" s="171"/>
      <c r="AT110" s="173" t="s">
        <v>834</v>
      </c>
      <c r="AU110" s="171"/>
      <c r="AV110" s="381" t="s">
        <v>834</v>
      </c>
      <c r="AW110" s="168"/>
      <c r="AX110" s="433" t="s">
        <v>834</v>
      </c>
      <c r="AY110" s="427"/>
      <c r="AZ110" s="167" t="s">
        <v>834</v>
      </c>
      <c r="BA110" s="427"/>
      <c r="BB110" s="164" t="s">
        <v>834</v>
      </c>
      <c r="BC110" s="168"/>
      <c r="BD110" s="464"/>
      <c r="BE110" s="427"/>
      <c r="BF110" s="384" t="s">
        <v>834</v>
      </c>
      <c r="BG110" s="168" t="s">
        <v>1655</v>
      </c>
      <c r="BH110" s="432" t="s">
        <v>834</v>
      </c>
      <c r="BI110" s="168"/>
      <c r="BJ110" s="167"/>
      <c r="BK110" s="167"/>
      <c r="BL110" s="167" t="s">
        <v>834</v>
      </c>
      <c r="BM110" s="483"/>
      <c r="BN110" s="173">
        <v>5.125</v>
      </c>
      <c r="BO110" s="171"/>
      <c r="BP110" s="435" t="s">
        <v>834</v>
      </c>
      <c r="BQ110" s="436"/>
      <c r="BR110" s="167" t="s">
        <v>834</v>
      </c>
      <c r="BS110" s="168"/>
      <c r="BT110" s="167" t="s">
        <v>834</v>
      </c>
      <c r="BU110" s="168"/>
      <c r="BV110" s="167" t="s">
        <v>834</v>
      </c>
      <c r="BW110" s="168"/>
      <c r="BX110" s="437" t="s">
        <v>834</v>
      </c>
      <c r="BY110" s="171"/>
      <c r="BZ110" s="432"/>
      <c r="CA110" s="168"/>
      <c r="CB110" s="167" t="s">
        <v>834</v>
      </c>
      <c r="CC110" s="168"/>
      <c r="CD110" s="173" t="s">
        <v>834</v>
      </c>
      <c r="CE110" s="171"/>
      <c r="CF110" s="167" t="s">
        <v>834</v>
      </c>
      <c r="CG110" s="175"/>
      <c r="CH110" s="167" t="s">
        <v>834</v>
      </c>
      <c r="CI110" s="168" t="s">
        <v>1656</v>
      </c>
      <c r="CJ110" s="167" t="s">
        <v>834</v>
      </c>
      <c r="CK110" s="168"/>
      <c r="CL110" s="385" t="s">
        <v>834</v>
      </c>
      <c r="CM110" s="168"/>
      <c r="CN110" s="385" t="s">
        <v>834</v>
      </c>
      <c r="CO110" s="168" t="s">
        <v>546</v>
      </c>
      <c r="CP110" s="167" t="s">
        <v>834</v>
      </c>
      <c r="CQ110" s="168" t="s">
        <v>1657</v>
      </c>
      <c r="CR110" s="373" t="s">
        <v>834</v>
      </c>
      <c r="CS110" s="427"/>
      <c r="CT110" s="432">
        <v>1.5</v>
      </c>
      <c r="CU110" s="168" t="s">
        <v>840</v>
      </c>
      <c r="CV110" s="432" t="s">
        <v>834</v>
      </c>
      <c r="CW110" s="168" t="s">
        <v>1658</v>
      </c>
      <c r="CX110" s="168" t="s">
        <v>834</v>
      </c>
      <c r="CY110" s="168"/>
      <c r="CZ110" s="173" t="s">
        <v>834</v>
      </c>
      <c r="DA110" s="171" t="s">
        <v>1659</v>
      </c>
      <c r="DB110" s="371" t="s">
        <v>546</v>
      </c>
      <c r="DC110" s="371">
        <f t="shared" ref="DC110:DC132" si="13">COUNT(D110:CZ110)</f>
        <v>4</v>
      </c>
      <c r="DD110" s="371"/>
      <c r="DE110" s="371"/>
      <c r="DF110" s="371"/>
      <c r="DG110" s="371"/>
      <c r="DH110" s="371"/>
      <c r="DI110" s="371"/>
      <c r="DJ110" s="371"/>
      <c r="DK110" s="371"/>
      <c r="DL110" s="371"/>
      <c r="DM110" s="371"/>
      <c r="DN110" s="371"/>
      <c r="DO110" s="371"/>
      <c r="DP110" s="371"/>
      <c r="DQ110" s="371"/>
      <c r="DR110" s="371"/>
    </row>
    <row r="111" spans="1:122" ht="18.75" x14ac:dyDescent="0.3">
      <c r="A111" s="325">
        <v>54184</v>
      </c>
      <c r="B111" s="326">
        <v>74</v>
      </c>
      <c r="C111" s="327" t="s">
        <v>1660</v>
      </c>
      <c r="D111" s="424" t="s">
        <v>834</v>
      </c>
      <c r="E111" s="328"/>
      <c r="F111" s="173" t="s">
        <v>546</v>
      </c>
      <c r="G111" s="173"/>
      <c r="H111" s="373" t="s">
        <v>834</v>
      </c>
      <c r="I111" s="427"/>
      <c r="J111" s="173" t="s">
        <v>834</v>
      </c>
      <c r="K111" s="371" t="s">
        <v>1652</v>
      </c>
      <c r="L111" s="426" t="s">
        <v>834</v>
      </c>
      <c r="M111" s="427"/>
      <c r="N111" s="173" t="s">
        <v>834</v>
      </c>
      <c r="O111" s="171"/>
      <c r="P111" s="445" t="s">
        <v>834</v>
      </c>
      <c r="Q111" s="427"/>
      <c r="R111" s="457">
        <v>0.39800000000000002</v>
      </c>
      <c r="S111" s="168" t="s">
        <v>837</v>
      </c>
      <c r="T111" s="428" t="s">
        <v>834</v>
      </c>
      <c r="U111" s="376"/>
      <c r="V111" s="441" t="s">
        <v>834</v>
      </c>
      <c r="W111" s="377" t="s">
        <v>992</v>
      </c>
      <c r="X111" s="167" t="s">
        <v>834</v>
      </c>
      <c r="Y111" s="168" t="s">
        <v>546</v>
      </c>
      <c r="Z111" s="167">
        <v>4</v>
      </c>
      <c r="AA111" s="168"/>
      <c r="AB111" s="167" t="s">
        <v>834</v>
      </c>
      <c r="AC111" s="168"/>
      <c r="AD111" s="430" t="s">
        <v>834</v>
      </c>
      <c r="AE111" s="168"/>
      <c r="AF111" s="173" t="s">
        <v>834</v>
      </c>
      <c r="AG111" s="171"/>
      <c r="AH111" s="167" t="s">
        <v>834</v>
      </c>
      <c r="AI111" s="168"/>
      <c r="AJ111" s="373" t="s">
        <v>834</v>
      </c>
      <c r="AK111" s="431"/>
      <c r="AL111" s="167" t="s">
        <v>834</v>
      </c>
      <c r="AM111" s="168"/>
      <c r="AN111" s="173" t="s">
        <v>834</v>
      </c>
      <c r="AO111" s="171"/>
      <c r="AP111" s="432" t="s">
        <v>834</v>
      </c>
      <c r="AQ111" s="168"/>
      <c r="AR111" s="173" t="s">
        <v>834</v>
      </c>
      <c r="AS111" s="171"/>
      <c r="AT111" s="173" t="s">
        <v>834</v>
      </c>
      <c r="AU111" s="171"/>
      <c r="AV111" s="381" t="s">
        <v>834</v>
      </c>
      <c r="AW111" s="168"/>
      <c r="AX111" s="433" t="s">
        <v>834</v>
      </c>
      <c r="AY111" s="427"/>
      <c r="AZ111" s="167" t="s">
        <v>834</v>
      </c>
      <c r="BA111" s="427"/>
      <c r="BB111" s="164" t="s">
        <v>834</v>
      </c>
      <c r="BC111" s="168"/>
      <c r="BD111" s="464"/>
      <c r="BE111" s="427"/>
      <c r="BF111" s="384" t="s">
        <v>834</v>
      </c>
      <c r="BG111" s="168"/>
      <c r="BH111" s="432" t="s">
        <v>834</v>
      </c>
      <c r="BI111" s="168"/>
      <c r="BJ111" s="167"/>
      <c r="BK111" s="167"/>
      <c r="BL111" s="167" t="s">
        <v>834</v>
      </c>
      <c r="BM111" s="168"/>
      <c r="BN111" s="173" t="s">
        <v>834</v>
      </c>
      <c r="BO111" s="171" t="s">
        <v>1661</v>
      </c>
      <c r="BP111" s="435" t="s">
        <v>834</v>
      </c>
      <c r="BQ111" s="436"/>
      <c r="BR111" s="167" t="s">
        <v>834</v>
      </c>
      <c r="BS111" s="168"/>
      <c r="BT111" s="167" t="s">
        <v>834</v>
      </c>
      <c r="BU111" s="168"/>
      <c r="BV111" s="167" t="s">
        <v>834</v>
      </c>
      <c r="BW111" s="168"/>
      <c r="BX111" s="437" t="s">
        <v>834</v>
      </c>
      <c r="BY111" s="171"/>
      <c r="BZ111" s="432"/>
      <c r="CA111" s="168"/>
      <c r="CB111" s="167" t="s">
        <v>834</v>
      </c>
      <c r="CC111" s="168"/>
      <c r="CD111" s="173" t="s">
        <v>834</v>
      </c>
      <c r="CE111" s="171"/>
      <c r="CF111" s="167" t="s">
        <v>834</v>
      </c>
      <c r="CG111" s="175"/>
      <c r="CH111" s="167" t="s">
        <v>834</v>
      </c>
      <c r="CI111" s="168"/>
      <c r="CJ111" s="167" t="s">
        <v>834</v>
      </c>
      <c r="CK111" s="168"/>
      <c r="CL111" s="385" t="s">
        <v>834</v>
      </c>
      <c r="CM111" s="168"/>
      <c r="CN111" s="385" t="s">
        <v>834</v>
      </c>
      <c r="CO111" s="168" t="s">
        <v>1662</v>
      </c>
      <c r="CP111" s="167" t="s">
        <v>834</v>
      </c>
      <c r="CQ111" s="168"/>
      <c r="CR111" s="373" t="s">
        <v>834</v>
      </c>
      <c r="CS111" s="427"/>
      <c r="CT111" s="432" t="s">
        <v>834</v>
      </c>
      <c r="CU111" s="168" t="s">
        <v>1663</v>
      </c>
      <c r="CV111" s="432" t="s">
        <v>834</v>
      </c>
      <c r="CW111" s="168"/>
      <c r="CX111" s="168" t="s">
        <v>834</v>
      </c>
      <c r="CY111" s="168"/>
      <c r="CZ111" s="173" t="s">
        <v>834</v>
      </c>
      <c r="DA111" s="171" t="s">
        <v>1659</v>
      </c>
      <c r="DB111" s="371" t="s">
        <v>546</v>
      </c>
      <c r="DC111" s="371">
        <f t="shared" si="13"/>
        <v>2</v>
      </c>
      <c r="DD111" s="371"/>
      <c r="DE111" s="371"/>
      <c r="DF111" s="371"/>
      <c r="DG111" s="371"/>
      <c r="DH111" s="371"/>
      <c r="DI111" s="371"/>
      <c r="DJ111" s="371"/>
      <c r="DK111" s="371"/>
      <c r="DL111" s="371"/>
      <c r="DM111" s="371"/>
      <c r="DN111" s="371"/>
      <c r="DO111" s="371"/>
      <c r="DP111" s="371"/>
      <c r="DQ111" s="371"/>
      <c r="DR111" s="371"/>
    </row>
    <row r="112" spans="1:122" ht="18.75" x14ac:dyDescent="0.3">
      <c r="A112" s="325">
        <v>54184</v>
      </c>
      <c r="B112" s="326">
        <v>75</v>
      </c>
      <c r="C112" s="327" t="s">
        <v>1664</v>
      </c>
      <c r="D112" s="424" t="s">
        <v>834</v>
      </c>
      <c r="E112" s="328"/>
      <c r="F112" s="173" t="s">
        <v>546</v>
      </c>
      <c r="G112" s="173"/>
      <c r="H112" s="373" t="s">
        <v>834</v>
      </c>
      <c r="I112" s="427"/>
      <c r="J112" s="173" t="s">
        <v>834</v>
      </c>
      <c r="K112" s="371" t="s">
        <v>1652</v>
      </c>
      <c r="L112" s="426" t="s">
        <v>834</v>
      </c>
      <c r="M112" s="427"/>
      <c r="N112" s="173" t="s">
        <v>834</v>
      </c>
      <c r="O112" s="171"/>
      <c r="P112" s="445" t="s">
        <v>834</v>
      </c>
      <c r="Q112" s="427"/>
      <c r="R112" s="457">
        <v>0.39800000000000002</v>
      </c>
      <c r="S112" s="168" t="s">
        <v>837</v>
      </c>
      <c r="T112" s="428" t="s">
        <v>834</v>
      </c>
      <c r="U112" s="376"/>
      <c r="V112" s="441" t="s">
        <v>834</v>
      </c>
      <c r="W112" s="377" t="s">
        <v>992</v>
      </c>
      <c r="X112" s="167" t="s">
        <v>834</v>
      </c>
      <c r="Y112" s="168" t="s">
        <v>546</v>
      </c>
      <c r="Z112" s="167">
        <v>4</v>
      </c>
      <c r="AA112" s="168"/>
      <c r="AB112" s="167" t="s">
        <v>834</v>
      </c>
      <c r="AC112" s="168"/>
      <c r="AD112" s="430" t="s">
        <v>834</v>
      </c>
      <c r="AE112" s="168"/>
      <c r="AF112" s="173" t="s">
        <v>834</v>
      </c>
      <c r="AG112" s="171"/>
      <c r="AH112" s="167" t="s">
        <v>834</v>
      </c>
      <c r="AI112" s="168"/>
      <c r="AJ112" s="373" t="s">
        <v>834</v>
      </c>
      <c r="AK112" s="431"/>
      <c r="AL112" s="167" t="s">
        <v>834</v>
      </c>
      <c r="AM112" s="168"/>
      <c r="AN112" s="173" t="s">
        <v>834</v>
      </c>
      <c r="AO112" s="171"/>
      <c r="AP112" s="432" t="s">
        <v>834</v>
      </c>
      <c r="AQ112" s="168"/>
      <c r="AR112" s="173" t="s">
        <v>834</v>
      </c>
      <c r="AS112" s="171"/>
      <c r="AT112" s="173" t="s">
        <v>834</v>
      </c>
      <c r="AU112" s="171"/>
      <c r="AV112" s="381" t="s">
        <v>834</v>
      </c>
      <c r="AW112" s="168"/>
      <c r="AX112" s="433" t="s">
        <v>834</v>
      </c>
      <c r="AY112" s="427"/>
      <c r="AZ112" s="167" t="s">
        <v>834</v>
      </c>
      <c r="BA112" s="427"/>
      <c r="BB112" s="164" t="s">
        <v>834</v>
      </c>
      <c r="BC112" s="168"/>
      <c r="BD112" s="464"/>
      <c r="BE112" s="427"/>
      <c r="BF112" s="384" t="s">
        <v>834</v>
      </c>
      <c r="BG112" s="168"/>
      <c r="BH112" s="432" t="s">
        <v>834</v>
      </c>
      <c r="BI112" s="168"/>
      <c r="BJ112" s="167"/>
      <c r="BK112" s="167"/>
      <c r="BL112" s="167" t="s">
        <v>834</v>
      </c>
      <c r="BM112" s="168"/>
      <c r="BN112" s="173">
        <v>5.125</v>
      </c>
      <c r="BO112" s="171"/>
      <c r="BP112" s="435" t="s">
        <v>834</v>
      </c>
      <c r="BQ112" s="436"/>
      <c r="BR112" s="167" t="s">
        <v>834</v>
      </c>
      <c r="BS112" s="168"/>
      <c r="BT112" s="167" t="s">
        <v>834</v>
      </c>
      <c r="BU112" s="168"/>
      <c r="BV112" s="167" t="s">
        <v>834</v>
      </c>
      <c r="BW112" s="168"/>
      <c r="BX112" s="437" t="s">
        <v>834</v>
      </c>
      <c r="BY112" s="171"/>
      <c r="BZ112" s="432"/>
      <c r="CA112" s="168"/>
      <c r="CB112" s="167" t="s">
        <v>834</v>
      </c>
      <c r="CC112" s="168"/>
      <c r="CD112" s="173" t="s">
        <v>834</v>
      </c>
      <c r="CE112" s="171"/>
      <c r="CF112" s="167" t="s">
        <v>834</v>
      </c>
      <c r="CG112" s="175"/>
      <c r="CH112" s="167" t="s">
        <v>834</v>
      </c>
      <c r="CI112" s="168"/>
      <c r="CJ112" s="167" t="s">
        <v>834</v>
      </c>
      <c r="CK112" s="168"/>
      <c r="CL112" s="385" t="s">
        <v>834</v>
      </c>
      <c r="CM112" s="559"/>
      <c r="CN112" s="385" t="s">
        <v>834</v>
      </c>
      <c r="CO112" s="168" t="s">
        <v>1662</v>
      </c>
      <c r="CP112" s="167" t="s">
        <v>834</v>
      </c>
      <c r="CQ112" s="168"/>
      <c r="CR112" s="373" t="s">
        <v>834</v>
      </c>
      <c r="CS112" s="427"/>
      <c r="CT112" s="164">
        <v>0.48399999999999999</v>
      </c>
      <c r="CU112" s="168" t="s">
        <v>1665</v>
      </c>
      <c r="CV112" s="432" t="s">
        <v>834</v>
      </c>
      <c r="CW112" s="168"/>
      <c r="CX112" s="168" t="s">
        <v>834</v>
      </c>
      <c r="CY112" s="168"/>
      <c r="CZ112" s="173" t="s">
        <v>834</v>
      </c>
      <c r="DA112" s="171" t="s">
        <v>1659</v>
      </c>
      <c r="DB112" s="371" t="s">
        <v>546</v>
      </c>
      <c r="DC112" s="371">
        <f t="shared" si="13"/>
        <v>4</v>
      </c>
      <c r="DD112" s="371"/>
      <c r="DE112" s="371"/>
      <c r="DF112" s="371"/>
      <c r="DG112" s="371"/>
      <c r="DH112" s="371"/>
      <c r="DI112" s="371"/>
      <c r="DJ112" s="371"/>
      <c r="DK112" s="371"/>
      <c r="DL112" s="371"/>
      <c r="DM112" s="371"/>
      <c r="DN112" s="371"/>
      <c r="DO112" s="371"/>
      <c r="DP112" s="371"/>
      <c r="DQ112" s="371"/>
      <c r="DR112" s="371"/>
    </row>
    <row r="113" spans="1:122" ht="18.75" x14ac:dyDescent="0.3">
      <c r="A113" s="325">
        <v>54184</v>
      </c>
      <c r="B113" s="326">
        <v>76</v>
      </c>
      <c r="C113" s="327" t="s">
        <v>1666</v>
      </c>
      <c r="D113" s="424" t="s">
        <v>834</v>
      </c>
      <c r="E113" s="328"/>
      <c r="F113" s="173" t="s">
        <v>546</v>
      </c>
      <c r="G113" s="173"/>
      <c r="H113" s="373" t="s">
        <v>834</v>
      </c>
      <c r="I113" s="427"/>
      <c r="J113" s="173" t="s">
        <v>834</v>
      </c>
      <c r="K113" s="371" t="s">
        <v>1667</v>
      </c>
      <c r="L113" s="426" t="s">
        <v>834</v>
      </c>
      <c r="M113" s="427"/>
      <c r="N113" s="173" t="s">
        <v>834</v>
      </c>
      <c r="O113" s="171"/>
      <c r="P113" s="445" t="s">
        <v>834</v>
      </c>
      <c r="Q113" s="427"/>
      <c r="R113" s="457">
        <v>0.39800000000000002</v>
      </c>
      <c r="S113" s="168" t="s">
        <v>837</v>
      </c>
      <c r="T113" s="428" t="s">
        <v>834</v>
      </c>
      <c r="U113" s="376"/>
      <c r="V113" s="441" t="s">
        <v>834</v>
      </c>
      <c r="W113" s="377" t="s">
        <v>992</v>
      </c>
      <c r="X113" s="167" t="s">
        <v>834</v>
      </c>
      <c r="Y113" s="168" t="s">
        <v>546</v>
      </c>
      <c r="Z113" s="167">
        <v>4</v>
      </c>
      <c r="AA113" s="168"/>
      <c r="AB113" s="167" t="s">
        <v>834</v>
      </c>
      <c r="AC113" s="168"/>
      <c r="AD113" s="430" t="s">
        <v>834</v>
      </c>
      <c r="AE113" s="168"/>
      <c r="AF113" s="173" t="s">
        <v>834</v>
      </c>
      <c r="AG113" s="171" t="s">
        <v>1668</v>
      </c>
      <c r="AH113" s="167" t="s">
        <v>834</v>
      </c>
      <c r="AI113" s="168"/>
      <c r="AJ113" s="373" t="s">
        <v>834</v>
      </c>
      <c r="AK113" s="431"/>
      <c r="AL113" s="167" t="s">
        <v>834</v>
      </c>
      <c r="AM113" s="168"/>
      <c r="AN113" s="173" t="s">
        <v>834</v>
      </c>
      <c r="AO113" s="171"/>
      <c r="AP113" s="432" t="s">
        <v>834</v>
      </c>
      <c r="AQ113" s="168"/>
      <c r="AR113" s="173" t="s">
        <v>834</v>
      </c>
      <c r="AS113" s="171"/>
      <c r="AT113" s="173" t="s">
        <v>834</v>
      </c>
      <c r="AU113" s="171" t="s">
        <v>1669</v>
      </c>
      <c r="AV113" s="381" t="s">
        <v>834</v>
      </c>
      <c r="AW113" s="168"/>
      <c r="AX113" s="433" t="s">
        <v>834</v>
      </c>
      <c r="AY113" s="427"/>
      <c r="AZ113" s="167" t="s">
        <v>834</v>
      </c>
      <c r="BA113" s="427"/>
      <c r="BB113" s="164" t="s">
        <v>834</v>
      </c>
      <c r="BC113" s="168"/>
      <c r="BD113" s="464"/>
      <c r="BE113" s="427"/>
      <c r="BF113" s="384" t="s">
        <v>834</v>
      </c>
      <c r="BG113" s="168" t="s">
        <v>1670</v>
      </c>
      <c r="BH113" s="432" t="s">
        <v>834</v>
      </c>
      <c r="BI113" s="168"/>
      <c r="BJ113" s="167"/>
      <c r="BK113" s="167"/>
      <c r="BL113" s="167" t="s">
        <v>834</v>
      </c>
      <c r="BM113" s="168"/>
      <c r="BN113" s="173">
        <v>5.125</v>
      </c>
      <c r="BO113" s="171"/>
      <c r="BP113" s="435" t="s">
        <v>834</v>
      </c>
      <c r="BQ113" s="436"/>
      <c r="BR113" s="167" t="s">
        <v>834</v>
      </c>
      <c r="BS113" s="168"/>
      <c r="BT113" s="167" t="s">
        <v>834</v>
      </c>
      <c r="BU113" s="168"/>
      <c r="BV113" s="167" t="s">
        <v>834</v>
      </c>
      <c r="BW113" s="168"/>
      <c r="BX113" s="437" t="s">
        <v>834</v>
      </c>
      <c r="BY113" s="171"/>
      <c r="BZ113" s="432"/>
      <c r="CA113" s="168"/>
      <c r="CB113" s="167" t="s">
        <v>834</v>
      </c>
      <c r="CC113" s="168"/>
      <c r="CD113" s="173" t="s">
        <v>834</v>
      </c>
      <c r="CE113" s="171"/>
      <c r="CF113" s="167" t="s">
        <v>834</v>
      </c>
      <c r="CG113" s="175"/>
      <c r="CH113" s="167" t="s">
        <v>834</v>
      </c>
      <c r="CI113" s="168"/>
      <c r="CJ113" s="167" t="s">
        <v>834</v>
      </c>
      <c r="CK113" s="168"/>
      <c r="CL113" s="385" t="s">
        <v>834</v>
      </c>
      <c r="CM113" s="168"/>
      <c r="CN113" s="385" t="s">
        <v>834</v>
      </c>
      <c r="CO113" s="168"/>
      <c r="CP113" s="167" t="s">
        <v>834</v>
      </c>
      <c r="CQ113" s="168"/>
      <c r="CR113" s="373" t="s">
        <v>834</v>
      </c>
      <c r="CS113" s="427"/>
      <c r="CT113" s="164">
        <v>0.48399999999999999</v>
      </c>
      <c r="CU113" s="168" t="s">
        <v>1671</v>
      </c>
      <c r="CV113" s="432" t="s">
        <v>834</v>
      </c>
      <c r="CW113" s="168"/>
      <c r="CX113" s="168" t="s">
        <v>834</v>
      </c>
      <c r="CY113" s="168"/>
      <c r="CZ113" s="173" t="s">
        <v>834</v>
      </c>
      <c r="DA113" s="171" t="s">
        <v>1659</v>
      </c>
      <c r="DB113" s="371" t="s">
        <v>546</v>
      </c>
      <c r="DC113" s="371">
        <f t="shared" si="13"/>
        <v>4</v>
      </c>
      <c r="DD113" s="371"/>
      <c r="DE113" s="371"/>
      <c r="DF113" s="371"/>
      <c r="DG113" s="371"/>
      <c r="DH113" s="371"/>
      <c r="DI113" s="371"/>
      <c r="DJ113" s="371"/>
      <c r="DK113" s="371"/>
      <c r="DL113" s="371"/>
      <c r="DM113" s="371"/>
      <c r="DN113" s="371"/>
      <c r="DO113" s="371"/>
      <c r="DP113" s="371"/>
      <c r="DQ113" s="371"/>
      <c r="DR113" s="371"/>
    </row>
    <row r="114" spans="1:122" ht="18.75" x14ac:dyDescent="0.3">
      <c r="A114" s="325">
        <v>54184</v>
      </c>
      <c r="B114" s="326">
        <v>77</v>
      </c>
      <c r="C114" s="327" t="s">
        <v>1672</v>
      </c>
      <c r="D114" s="424" t="s">
        <v>834</v>
      </c>
      <c r="E114" s="328"/>
      <c r="F114" s="173" t="s">
        <v>546</v>
      </c>
      <c r="G114" s="173"/>
      <c r="H114" s="373" t="s">
        <v>834</v>
      </c>
      <c r="I114" s="427"/>
      <c r="J114" s="173" t="s">
        <v>834</v>
      </c>
      <c r="K114" s="371" t="s">
        <v>1652</v>
      </c>
      <c r="L114" s="426" t="s">
        <v>834</v>
      </c>
      <c r="M114" s="427"/>
      <c r="N114" s="173" t="s">
        <v>834</v>
      </c>
      <c r="O114" s="171"/>
      <c r="P114" s="445" t="s">
        <v>834</v>
      </c>
      <c r="Q114" s="427"/>
      <c r="R114" s="457">
        <v>0.39800000000000002</v>
      </c>
      <c r="S114" s="168" t="s">
        <v>837</v>
      </c>
      <c r="T114" s="428" t="s">
        <v>834</v>
      </c>
      <c r="U114" s="376"/>
      <c r="V114" s="441" t="s">
        <v>834</v>
      </c>
      <c r="W114" s="377" t="s">
        <v>992</v>
      </c>
      <c r="X114" s="167" t="s">
        <v>834</v>
      </c>
      <c r="Y114" s="168" t="s">
        <v>546</v>
      </c>
      <c r="Z114" s="167">
        <v>4</v>
      </c>
      <c r="AA114" s="168"/>
      <c r="AB114" s="167" t="s">
        <v>834</v>
      </c>
      <c r="AC114" s="168"/>
      <c r="AD114" s="430" t="s">
        <v>834</v>
      </c>
      <c r="AE114" s="168"/>
      <c r="AF114" s="173" t="s">
        <v>834</v>
      </c>
      <c r="AG114" s="171" t="s">
        <v>1668</v>
      </c>
      <c r="AH114" s="167" t="s">
        <v>834</v>
      </c>
      <c r="AI114" s="168"/>
      <c r="AJ114" s="373" t="s">
        <v>834</v>
      </c>
      <c r="AK114" s="431"/>
      <c r="AL114" s="167" t="s">
        <v>834</v>
      </c>
      <c r="AM114" s="168"/>
      <c r="AN114" s="173" t="s">
        <v>834</v>
      </c>
      <c r="AO114" s="171"/>
      <c r="AP114" s="432" t="s">
        <v>834</v>
      </c>
      <c r="AQ114" s="168"/>
      <c r="AR114" s="173" t="s">
        <v>834</v>
      </c>
      <c r="AS114" s="171"/>
      <c r="AT114" s="173" t="s">
        <v>834</v>
      </c>
      <c r="AU114" s="171" t="s">
        <v>1669</v>
      </c>
      <c r="AV114" s="381" t="s">
        <v>834</v>
      </c>
      <c r="AW114" s="168"/>
      <c r="AX114" s="433" t="s">
        <v>834</v>
      </c>
      <c r="AY114" s="427"/>
      <c r="AZ114" s="167" t="s">
        <v>834</v>
      </c>
      <c r="BA114" s="427"/>
      <c r="BB114" s="164" t="s">
        <v>834</v>
      </c>
      <c r="BC114" s="168"/>
      <c r="BD114" s="464"/>
      <c r="BE114" s="427"/>
      <c r="BF114" s="384" t="s">
        <v>834</v>
      </c>
      <c r="BG114" s="168"/>
      <c r="BH114" s="432" t="s">
        <v>834</v>
      </c>
      <c r="BI114" s="168"/>
      <c r="BJ114" s="167"/>
      <c r="BK114" s="167"/>
      <c r="BL114" s="167" t="s">
        <v>834</v>
      </c>
      <c r="BM114" s="168"/>
      <c r="BN114" s="173">
        <v>5.125</v>
      </c>
      <c r="BO114" s="171"/>
      <c r="BP114" s="435" t="s">
        <v>834</v>
      </c>
      <c r="BQ114" s="436"/>
      <c r="BR114" s="167" t="s">
        <v>834</v>
      </c>
      <c r="BS114" s="168"/>
      <c r="BT114" s="167" t="s">
        <v>834</v>
      </c>
      <c r="BU114" s="168"/>
      <c r="BV114" s="167" t="s">
        <v>834</v>
      </c>
      <c r="BW114" s="168"/>
      <c r="BX114" s="437" t="s">
        <v>834</v>
      </c>
      <c r="BY114" s="171"/>
      <c r="BZ114" s="432"/>
      <c r="CA114" s="168"/>
      <c r="CB114" s="167" t="s">
        <v>834</v>
      </c>
      <c r="CC114" s="168"/>
      <c r="CD114" s="173" t="s">
        <v>834</v>
      </c>
      <c r="CE114" s="171"/>
      <c r="CF114" s="167" t="s">
        <v>834</v>
      </c>
      <c r="CG114" s="175"/>
      <c r="CH114" s="167" t="s">
        <v>834</v>
      </c>
      <c r="CI114" s="168"/>
      <c r="CJ114" s="167" t="s">
        <v>834</v>
      </c>
      <c r="CK114" s="168"/>
      <c r="CL114" s="385" t="s">
        <v>834</v>
      </c>
      <c r="CM114" s="168"/>
      <c r="CN114" s="385" t="s">
        <v>834</v>
      </c>
      <c r="CO114" s="168"/>
      <c r="CP114" s="167" t="s">
        <v>834</v>
      </c>
      <c r="CQ114" s="168"/>
      <c r="CR114" s="373" t="s">
        <v>834</v>
      </c>
      <c r="CS114" s="427"/>
      <c r="CT114" s="164">
        <v>0.48399999999999999</v>
      </c>
      <c r="CU114" s="168" t="s">
        <v>1671</v>
      </c>
      <c r="CV114" s="432" t="s">
        <v>834</v>
      </c>
      <c r="CW114" s="168"/>
      <c r="CX114" s="168" t="s">
        <v>834</v>
      </c>
      <c r="CY114" s="168"/>
      <c r="CZ114" s="173" t="s">
        <v>834</v>
      </c>
      <c r="DA114" s="171" t="s">
        <v>1659</v>
      </c>
      <c r="DB114" s="371" t="s">
        <v>546</v>
      </c>
      <c r="DC114" s="371">
        <f t="shared" si="13"/>
        <v>4</v>
      </c>
      <c r="DD114" s="371"/>
      <c r="DE114" s="371"/>
      <c r="DF114" s="371"/>
      <c r="DG114" s="371"/>
      <c r="DH114" s="371"/>
      <c r="DI114" s="371"/>
      <c r="DJ114" s="371"/>
      <c r="DK114" s="371"/>
      <c r="DL114" s="371"/>
      <c r="DM114" s="371"/>
      <c r="DN114" s="371"/>
      <c r="DO114" s="371"/>
      <c r="DP114" s="371"/>
      <c r="DQ114" s="371"/>
      <c r="DR114" s="371"/>
    </row>
    <row r="115" spans="1:122" ht="18.75" x14ac:dyDescent="0.3">
      <c r="A115" s="325">
        <v>54181</v>
      </c>
      <c r="B115" s="326">
        <v>78</v>
      </c>
      <c r="C115" s="327" t="s">
        <v>1673</v>
      </c>
      <c r="D115" s="560" t="s">
        <v>834</v>
      </c>
      <c r="E115" s="328"/>
      <c r="F115" s="173"/>
      <c r="G115" s="173"/>
      <c r="H115" s="373" t="s">
        <v>834</v>
      </c>
      <c r="I115" s="427"/>
      <c r="J115" s="173" t="s">
        <v>834</v>
      </c>
      <c r="K115" s="371" t="s">
        <v>1674</v>
      </c>
      <c r="L115" s="426">
        <v>7.25</v>
      </c>
      <c r="M115" s="427" t="s">
        <v>1675</v>
      </c>
      <c r="N115" s="173" t="s">
        <v>834</v>
      </c>
      <c r="O115" s="171"/>
      <c r="P115" s="445">
        <v>6.35</v>
      </c>
      <c r="Q115" s="427" t="s">
        <v>1676</v>
      </c>
      <c r="R115" s="457">
        <v>0.39800000000000002</v>
      </c>
      <c r="S115" s="168" t="s">
        <v>837</v>
      </c>
      <c r="T115" s="428" t="s">
        <v>834</v>
      </c>
      <c r="U115" s="376"/>
      <c r="V115" s="441" t="s">
        <v>834</v>
      </c>
      <c r="W115" s="377" t="s">
        <v>992</v>
      </c>
      <c r="X115" s="167" t="s">
        <v>834</v>
      </c>
      <c r="Y115" s="168" t="s">
        <v>856</v>
      </c>
      <c r="Z115" s="167">
        <v>4</v>
      </c>
      <c r="AA115" s="168"/>
      <c r="AB115" s="167" t="s">
        <v>834</v>
      </c>
      <c r="AC115" s="168"/>
      <c r="AD115" s="430" t="s">
        <v>834</v>
      </c>
      <c r="AE115" s="168"/>
      <c r="AF115" s="173" t="s">
        <v>834</v>
      </c>
      <c r="AG115" s="171"/>
      <c r="AH115" s="167" t="s">
        <v>834</v>
      </c>
      <c r="AI115" s="168"/>
      <c r="AJ115" s="373" t="s">
        <v>834</v>
      </c>
      <c r="AK115" s="431"/>
      <c r="AL115" s="167" t="s">
        <v>834</v>
      </c>
      <c r="AM115" s="478" t="s">
        <v>1677</v>
      </c>
      <c r="AN115" s="173" t="s">
        <v>834</v>
      </c>
      <c r="AO115" s="171"/>
      <c r="AP115" s="475">
        <v>5.5</v>
      </c>
      <c r="AQ115" s="168" t="s">
        <v>1678</v>
      </c>
      <c r="AR115" s="173">
        <v>6</v>
      </c>
      <c r="AS115" s="171" t="s">
        <v>1679</v>
      </c>
      <c r="AT115" s="173" t="s">
        <v>834</v>
      </c>
      <c r="AU115" s="171"/>
      <c r="AV115" s="381">
        <v>6</v>
      </c>
      <c r="AW115" s="168" t="s">
        <v>1680</v>
      </c>
      <c r="AX115" s="443" t="s">
        <v>834</v>
      </c>
      <c r="AY115" s="427" t="s">
        <v>1681</v>
      </c>
      <c r="AZ115" s="167" t="s">
        <v>834</v>
      </c>
      <c r="BA115" s="427"/>
      <c r="BB115" s="164" t="s">
        <v>834</v>
      </c>
      <c r="BC115" s="168"/>
      <c r="BD115" s="464"/>
      <c r="BE115" s="427"/>
      <c r="BF115" s="384" t="s">
        <v>834</v>
      </c>
      <c r="BG115" s="168" t="s">
        <v>1682</v>
      </c>
      <c r="BH115" s="432" t="s">
        <v>834</v>
      </c>
      <c r="BI115" s="168"/>
      <c r="BJ115" s="167"/>
      <c r="BK115" s="167"/>
      <c r="BL115" s="167" t="s">
        <v>834</v>
      </c>
      <c r="BM115" s="483"/>
      <c r="BN115" s="173">
        <v>5.125</v>
      </c>
      <c r="BO115" s="171"/>
      <c r="BP115" s="435" t="s">
        <v>834</v>
      </c>
      <c r="BQ115" s="436"/>
      <c r="BR115" s="167" t="s">
        <v>834</v>
      </c>
      <c r="BS115" s="168"/>
      <c r="BT115" s="167" t="s">
        <v>834</v>
      </c>
      <c r="BU115" s="168"/>
      <c r="BV115" s="167" t="s">
        <v>834</v>
      </c>
      <c r="BW115" s="168"/>
      <c r="BX115" s="437" t="s">
        <v>834</v>
      </c>
      <c r="BY115" s="171"/>
      <c r="BZ115" s="432"/>
      <c r="CA115" s="168"/>
      <c r="CB115" s="373" t="s">
        <v>834</v>
      </c>
      <c r="CC115" s="175" t="s">
        <v>1683</v>
      </c>
      <c r="CD115" s="173" t="s">
        <v>834</v>
      </c>
      <c r="CE115" s="171"/>
      <c r="CF115" s="167" t="s">
        <v>834</v>
      </c>
      <c r="CG115" s="175"/>
      <c r="CH115" s="167">
        <v>4.5</v>
      </c>
      <c r="CI115" s="168"/>
      <c r="CJ115" s="167" t="s">
        <v>834</v>
      </c>
      <c r="CK115" s="168" t="s">
        <v>1684</v>
      </c>
      <c r="CL115" s="445" t="s">
        <v>834</v>
      </c>
      <c r="CM115" s="559"/>
      <c r="CN115" s="385" t="s">
        <v>834</v>
      </c>
      <c r="CO115" s="168"/>
      <c r="CP115" s="167" t="s">
        <v>834</v>
      </c>
      <c r="CQ115" s="168"/>
      <c r="CR115" s="373" t="s">
        <v>834</v>
      </c>
      <c r="CS115" s="427"/>
      <c r="CT115" s="432">
        <v>1.5</v>
      </c>
      <c r="CU115" s="168" t="s">
        <v>840</v>
      </c>
      <c r="CV115" s="432">
        <v>6</v>
      </c>
      <c r="CW115" s="168"/>
      <c r="CX115" s="168" t="s">
        <v>834</v>
      </c>
      <c r="CY115" s="168" t="s">
        <v>1685</v>
      </c>
      <c r="CZ115" s="173" t="s">
        <v>834</v>
      </c>
      <c r="DA115" s="171" t="s">
        <v>1659</v>
      </c>
      <c r="DB115" s="371" t="s">
        <v>546</v>
      </c>
      <c r="DC115" s="371">
        <f t="shared" si="13"/>
        <v>11</v>
      </c>
      <c r="DD115" s="371"/>
      <c r="DE115" s="371"/>
      <c r="DF115" s="371"/>
      <c r="DG115" s="371"/>
      <c r="DH115" s="371"/>
      <c r="DI115" s="371"/>
      <c r="DJ115" s="371"/>
      <c r="DK115" s="371"/>
      <c r="DL115" s="371"/>
      <c r="DM115" s="371"/>
      <c r="DN115" s="371"/>
      <c r="DO115" s="371"/>
      <c r="DP115" s="371"/>
      <c r="DQ115" s="371"/>
      <c r="DR115" s="371"/>
    </row>
    <row r="116" spans="1:122" ht="18.75" x14ac:dyDescent="0.3">
      <c r="A116" s="325">
        <v>561613</v>
      </c>
      <c r="B116" s="326">
        <v>79</v>
      </c>
      <c r="C116" s="327" t="s">
        <v>1686</v>
      </c>
      <c r="D116" s="424" t="s">
        <v>834</v>
      </c>
      <c r="E116" s="446"/>
      <c r="F116" s="173" t="s">
        <v>546</v>
      </c>
      <c r="G116" s="173"/>
      <c r="H116" s="373">
        <v>6.5</v>
      </c>
      <c r="I116" s="175"/>
      <c r="J116" s="173" t="s">
        <v>834</v>
      </c>
      <c r="K116" s="371"/>
      <c r="L116" s="426" t="s">
        <v>834</v>
      </c>
      <c r="M116" s="427"/>
      <c r="N116" s="173" t="s">
        <v>834</v>
      </c>
      <c r="O116" s="171"/>
      <c r="P116" s="445">
        <v>6.35</v>
      </c>
      <c r="Q116" s="427"/>
      <c r="R116" s="457">
        <v>0.39800000000000002</v>
      </c>
      <c r="S116" s="168" t="s">
        <v>837</v>
      </c>
      <c r="T116" s="428">
        <v>5.75</v>
      </c>
      <c r="U116" s="376" t="s">
        <v>1687</v>
      </c>
      <c r="V116" s="441">
        <v>6</v>
      </c>
      <c r="W116" s="377" t="s">
        <v>992</v>
      </c>
      <c r="X116" s="167" t="s">
        <v>834</v>
      </c>
      <c r="Y116" s="168" t="s">
        <v>856</v>
      </c>
      <c r="Z116" s="167">
        <v>4</v>
      </c>
      <c r="AA116" s="168"/>
      <c r="AB116" s="167" t="s">
        <v>834</v>
      </c>
      <c r="AC116" s="444"/>
      <c r="AD116" s="430" t="s">
        <v>834</v>
      </c>
      <c r="AE116" s="447"/>
      <c r="AF116" s="173" t="s">
        <v>834</v>
      </c>
      <c r="AG116" s="171"/>
      <c r="AH116" s="167">
        <v>6</v>
      </c>
      <c r="AI116" s="168"/>
      <c r="AJ116" s="373" t="s">
        <v>834</v>
      </c>
      <c r="AK116" s="431"/>
      <c r="AL116" s="167" t="s">
        <v>834</v>
      </c>
      <c r="AM116" s="168"/>
      <c r="AN116" s="173" t="s">
        <v>834</v>
      </c>
      <c r="AO116" s="171"/>
      <c r="AP116" s="432" t="s">
        <v>834</v>
      </c>
      <c r="AQ116" s="168"/>
      <c r="AR116" s="173">
        <v>6</v>
      </c>
      <c r="AS116" s="171"/>
      <c r="AT116" s="173" t="s">
        <v>834</v>
      </c>
      <c r="AU116" s="171"/>
      <c r="AV116" s="381" t="s">
        <v>834</v>
      </c>
      <c r="AW116" s="167"/>
      <c r="AX116" s="433">
        <v>6.875</v>
      </c>
      <c r="AY116" s="427"/>
      <c r="AZ116" s="167" t="s">
        <v>834</v>
      </c>
      <c r="BA116" s="427"/>
      <c r="BB116" s="164" t="s">
        <v>834</v>
      </c>
      <c r="BC116" s="167"/>
      <c r="BD116" s="464"/>
      <c r="BE116" s="427"/>
      <c r="BF116" s="384">
        <v>5.5</v>
      </c>
      <c r="BG116" s="168" t="s">
        <v>1688</v>
      </c>
      <c r="BH116" s="432" t="s">
        <v>834</v>
      </c>
      <c r="BI116" s="167"/>
      <c r="BJ116" s="167"/>
      <c r="BK116" s="167"/>
      <c r="BL116" s="167">
        <v>6.875</v>
      </c>
      <c r="BM116" s="168" t="s">
        <v>1689</v>
      </c>
      <c r="BN116" s="173">
        <v>5.125</v>
      </c>
      <c r="BO116" s="171"/>
      <c r="BP116" s="435">
        <v>4</v>
      </c>
      <c r="BQ116" s="436"/>
      <c r="BR116" s="167" t="s">
        <v>834</v>
      </c>
      <c r="BS116" s="167"/>
      <c r="BT116" s="167" t="s">
        <v>834</v>
      </c>
      <c r="BU116" s="167"/>
      <c r="BV116" s="429">
        <v>5.75</v>
      </c>
      <c r="BW116" s="167"/>
      <c r="BX116" s="437" t="s">
        <v>834</v>
      </c>
      <c r="BY116" s="171"/>
      <c r="BZ116" s="432"/>
      <c r="CA116" s="168"/>
      <c r="CB116" s="167" t="s">
        <v>834</v>
      </c>
      <c r="CC116" s="175"/>
      <c r="CD116" s="173" t="s">
        <v>834</v>
      </c>
      <c r="CE116" s="171"/>
      <c r="CF116" s="167" t="s">
        <v>834</v>
      </c>
      <c r="CG116" s="175"/>
      <c r="CH116" s="167">
        <v>4.5</v>
      </c>
      <c r="CI116" s="168"/>
      <c r="CJ116" s="167" t="s">
        <v>834</v>
      </c>
      <c r="CK116" s="168"/>
      <c r="CL116" s="385">
        <v>6.25</v>
      </c>
      <c r="CM116" s="168"/>
      <c r="CN116" s="385" t="s">
        <v>834</v>
      </c>
      <c r="CO116" s="167"/>
      <c r="CP116" s="167" t="s">
        <v>834</v>
      </c>
      <c r="CQ116" s="167"/>
      <c r="CR116" s="373" t="s">
        <v>834</v>
      </c>
      <c r="CS116" s="373"/>
      <c r="CT116" s="164">
        <v>1.9259999999999999</v>
      </c>
      <c r="CU116" s="168" t="s">
        <v>1690</v>
      </c>
      <c r="CV116" s="432">
        <v>6</v>
      </c>
      <c r="CW116" s="168"/>
      <c r="CX116" s="168" t="s">
        <v>834</v>
      </c>
      <c r="CY116" s="168"/>
      <c r="CZ116" s="173" t="s">
        <v>834</v>
      </c>
      <c r="DA116" s="171" t="s">
        <v>1691</v>
      </c>
      <c r="DB116" s="371" t="s">
        <v>546</v>
      </c>
      <c r="DC116" s="371">
        <f t="shared" si="13"/>
        <v>18</v>
      </c>
      <c r="DD116" s="371"/>
      <c r="DE116" s="371"/>
      <c r="DF116" s="371"/>
      <c r="DG116" s="371"/>
      <c r="DH116" s="371"/>
      <c r="DI116" s="371"/>
      <c r="DJ116" s="371"/>
      <c r="DK116" s="371"/>
      <c r="DL116" s="371"/>
      <c r="DM116" s="371"/>
      <c r="DN116" s="371"/>
      <c r="DO116" s="371"/>
      <c r="DP116" s="371"/>
      <c r="DQ116" s="371"/>
      <c r="DR116" s="371"/>
    </row>
    <row r="117" spans="1:122" ht="18.75" x14ac:dyDescent="0.3">
      <c r="A117" s="325">
        <v>81299</v>
      </c>
      <c r="B117" s="326">
        <v>80</v>
      </c>
      <c r="C117" s="327" t="s">
        <v>1692</v>
      </c>
      <c r="D117" s="424" t="s">
        <v>834</v>
      </c>
      <c r="E117" s="328"/>
      <c r="F117" s="173"/>
      <c r="G117" s="173"/>
      <c r="H117" s="373" t="s">
        <v>834</v>
      </c>
      <c r="I117" s="427"/>
      <c r="J117" s="173" t="s">
        <v>834</v>
      </c>
      <c r="K117" s="371"/>
      <c r="L117" s="426" t="s">
        <v>834</v>
      </c>
      <c r="M117" s="427"/>
      <c r="N117" s="173" t="s">
        <v>834</v>
      </c>
      <c r="O117" s="171"/>
      <c r="P117" s="445" t="s">
        <v>834</v>
      </c>
      <c r="Q117" s="427"/>
      <c r="R117" s="457">
        <v>0.39800000000000002</v>
      </c>
      <c r="S117" s="168" t="s">
        <v>837</v>
      </c>
      <c r="T117" s="428" t="s">
        <v>834</v>
      </c>
      <c r="U117" s="376"/>
      <c r="V117" s="441" t="s">
        <v>834</v>
      </c>
      <c r="W117" s="377" t="s">
        <v>992</v>
      </c>
      <c r="X117" s="167" t="s">
        <v>834</v>
      </c>
      <c r="Y117" s="168" t="s">
        <v>856</v>
      </c>
      <c r="Z117" s="167">
        <v>4</v>
      </c>
      <c r="AA117" s="168"/>
      <c r="AB117" s="167" t="s">
        <v>834</v>
      </c>
      <c r="AC117" s="168"/>
      <c r="AD117" s="430" t="s">
        <v>834</v>
      </c>
      <c r="AE117" s="168"/>
      <c r="AF117" s="173" t="s">
        <v>834</v>
      </c>
      <c r="AG117" s="171"/>
      <c r="AH117" s="167" t="s">
        <v>834</v>
      </c>
      <c r="AI117" s="168"/>
      <c r="AJ117" s="373" t="s">
        <v>834</v>
      </c>
      <c r="AK117" s="431"/>
      <c r="AL117" s="167" t="s">
        <v>834</v>
      </c>
      <c r="AM117" s="168"/>
      <c r="AN117" s="173" t="s">
        <v>834</v>
      </c>
      <c r="AO117" s="171"/>
      <c r="AP117" s="432" t="s">
        <v>834</v>
      </c>
      <c r="AQ117" s="168"/>
      <c r="AR117" s="173" t="s">
        <v>834</v>
      </c>
      <c r="AS117" s="171"/>
      <c r="AT117" s="173" t="s">
        <v>834</v>
      </c>
      <c r="AU117" s="171"/>
      <c r="AV117" s="381" t="s">
        <v>834</v>
      </c>
      <c r="AW117" s="168"/>
      <c r="AX117" s="433" t="s">
        <v>834</v>
      </c>
      <c r="AY117" s="427"/>
      <c r="AZ117" s="167" t="s">
        <v>834</v>
      </c>
      <c r="BA117" s="427"/>
      <c r="BB117" s="164" t="s">
        <v>834</v>
      </c>
      <c r="BC117" s="168"/>
      <c r="BD117" s="464"/>
      <c r="BE117" s="427"/>
      <c r="BF117" s="384" t="s">
        <v>834</v>
      </c>
      <c r="BG117" s="168"/>
      <c r="BH117" s="432" t="s">
        <v>834</v>
      </c>
      <c r="BI117" s="168"/>
      <c r="BJ117" s="167"/>
      <c r="BK117" s="167"/>
      <c r="BL117" s="167" t="s">
        <v>834</v>
      </c>
      <c r="BM117" s="168"/>
      <c r="BN117" s="173" t="s">
        <v>834</v>
      </c>
      <c r="BO117" s="171" t="s">
        <v>1693</v>
      </c>
      <c r="BP117" s="435" t="s">
        <v>834</v>
      </c>
      <c r="BQ117" s="436"/>
      <c r="BR117" s="167" t="s">
        <v>834</v>
      </c>
      <c r="BS117" s="168"/>
      <c r="BT117" s="167" t="s">
        <v>834</v>
      </c>
      <c r="BU117" s="168"/>
      <c r="BV117" s="167" t="s">
        <v>834</v>
      </c>
      <c r="BW117" s="168"/>
      <c r="BX117" s="437" t="s">
        <v>834</v>
      </c>
      <c r="BY117" s="171"/>
      <c r="BZ117" s="432"/>
      <c r="CA117" s="168"/>
      <c r="CB117" s="167" t="s">
        <v>834</v>
      </c>
      <c r="CC117" s="175"/>
      <c r="CD117" s="173" t="s">
        <v>834</v>
      </c>
      <c r="CE117" s="171"/>
      <c r="CF117" s="167" t="s">
        <v>834</v>
      </c>
      <c r="CG117" s="175"/>
      <c r="CH117" s="167" t="s">
        <v>834</v>
      </c>
      <c r="CI117" s="168" t="s">
        <v>1694</v>
      </c>
      <c r="CJ117" s="167" t="s">
        <v>834</v>
      </c>
      <c r="CK117" s="168"/>
      <c r="CL117" s="385" t="s">
        <v>834</v>
      </c>
      <c r="CM117" s="168"/>
      <c r="CN117" s="385" t="s">
        <v>834</v>
      </c>
      <c r="CO117" s="168"/>
      <c r="CP117" s="167" t="s">
        <v>834</v>
      </c>
      <c r="CQ117" s="168"/>
      <c r="CR117" s="373" t="s">
        <v>834</v>
      </c>
      <c r="CS117" s="427"/>
      <c r="CT117" s="432">
        <v>1.5</v>
      </c>
      <c r="CU117" s="168" t="s">
        <v>840</v>
      </c>
      <c r="CV117" s="432">
        <v>6</v>
      </c>
      <c r="CW117" s="168"/>
      <c r="CX117" s="168" t="s">
        <v>834</v>
      </c>
      <c r="CY117" s="168"/>
      <c r="CZ117" s="173" t="s">
        <v>834</v>
      </c>
      <c r="DA117" s="171"/>
      <c r="DB117" s="371" t="s">
        <v>546</v>
      </c>
      <c r="DC117" s="371">
        <f t="shared" si="13"/>
        <v>4</v>
      </c>
      <c r="DD117" s="371"/>
      <c r="DE117" s="371"/>
      <c r="DF117" s="371"/>
      <c r="DG117" s="371"/>
      <c r="DH117" s="371"/>
      <c r="DI117" s="371"/>
      <c r="DJ117" s="371"/>
      <c r="DK117" s="371"/>
      <c r="DL117" s="371"/>
      <c r="DM117" s="371"/>
      <c r="DN117" s="371"/>
      <c r="DO117" s="371"/>
      <c r="DP117" s="371"/>
      <c r="DQ117" s="371"/>
      <c r="DR117" s="371"/>
    </row>
    <row r="118" spans="1:122" ht="18.75" x14ac:dyDescent="0.3">
      <c r="A118" s="325">
        <v>56144</v>
      </c>
      <c r="B118" s="326">
        <v>81</v>
      </c>
      <c r="C118" s="327" t="s">
        <v>1695</v>
      </c>
      <c r="D118" s="424" t="s">
        <v>834</v>
      </c>
      <c r="E118" s="328"/>
      <c r="F118" s="173"/>
      <c r="G118" s="173"/>
      <c r="H118" s="373" t="s">
        <v>834</v>
      </c>
      <c r="I118" s="427"/>
      <c r="J118" s="173" t="s">
        <v>834</v>
      </c>
      <c r="K118" s="371"/>
      <c r="L118" s="426" t="s">
        <v>834</v>
      </c>
      <c r="M118" s="427"/>
      <c r="N118" s="173" t="s">
        <v>834</v>
      </c>
      <c r="O118" s="171"/>
      <c r="P118" s="445" t="s">
        <v>834</v>
      </c>
      <c r="Q118" s="427"/>
      <c r="R118" s="457">
        <v>0.39800000000000002</v>
      </c>
      <c r="S118" s="168" t="s">
        <v>837</v>
      </c>
      <c r="T118" s="428" t="s">
        <v>834</v>
      </c>
      <c r="U118" s="376"/>
      <c r="V118" s="441" t="s">
        <v>834</v>
      </c>
      <c r="W118" s="377" t="s">
        <v>992</v>
      </c>
      <c r="X118" s="167" t="s">
        <v>834</v>
      </c>
      <c r="Y118" s="168" t="s">
        <v>856</v>
      </c>
      <c r="Z118" s="167">
        <v>4</v>
      </c>
      <c r="AA118" s="168"/>
      <c r="AB118" s="167" t="s">
        <v>834</v>
      </c>
      <c r="AC118" s="168"/>
      <c r="AD118" s="430" t="s">
        <v>834</v>
      </c>
      <c r="AE118" s="168"/>
      <c r="AF118" s="173" t="s">
        <v>834</v>
      </c>
      <c r="AG118" s="171"/>
      <c r="AH118" s="167" t="s">
        <v>834</v>
      </c>
      <c r="AI118" s="168"/>
      <c r="AJ118" s="373" t="s">
        <v>834</v>
      </c>
      <c r="AK118" s="431"/>
      <c r="AL118" s="167" t="s">
        <v>834</v>
      </c>
      <c r="AM118" s="168"/>
      <c r="AN118" s="173" t="s">
        <v>834</v>
      </c>
      <c r="AO118" s="171"/>
      <c r="AP118" s="432" t="s">
        <v>834</v>
      </c>
      <c r="AQ118" s="168"/>
      <c r="AR118" s="173" t="s">
        <v>834</v>
      </c>
      <c r="AS118" s="171"/>
      <c r="AT118" s="173" t="s">
        <v>834</v>
      </c>
      <c r="AU118" s="171"/>
      <c r="AV118" s="381" t="s">
        <v>834</v>
      </c>
      <c r="AW118" s="167"/>
      <c r="AX118" s="433" t="s">
        <v>834</v>
      </c>
      <c r="AY118" s="427"/>
      <c r="AZ118" s="167" t="s">
        <v>834</v>
      </c>
      <c r="BA118" s="427"/>
      <c r="BB118" s="164" t="s">
        <v>834</v>
      </c>
      <c r="BC118" s="167"/>
      <c r="BD118" s="464"/>
      <c r="BE118" s="427"/>
      <c r="BF118" s="384" t="s">
        <v>834</v>
      </c>
      <c r="BG118" s="168"/>
      <c r="BH118" s="432" t="s">
        <v>834</v>
      </c>
      <c r="BI118" s="167"/>
      <c r="BJ118" s="167"/>
      <c r="BK118" s="167"/>
      <c r="BL118" s="167" t="s">
        <v>834</v>
      </c>
      <c r="BM118" s="168"/>
      <c r="BN118" s="173">
        <v>5.125</v>
      </c>
      <c r="BO118" s="171"/>
      <c r="BP118" s="435" t="s">
        <v>834</v>
      </c>
      <c r="BQ118" s="436"/>
      <c r="BR118" s="167" t="s">
        <v>834</v>
      </c>
      <c r="BS118" s="167"/>
      <c r="BT118" s="167" t="s">
        <v>834</v>
      </c>
      <c r="BU118" s="167"/>
      <c r="BV118" s="167" t="s">
        <v>834</v>
      </c>
      <c r="BW118" s="167"/>
      <c r="BX118" s="437" t="s">
        <v>834</v>
      </c>
      <c r="BY118" s="171"/>
      <c r="BZ118" s="432"/>
      <c r="CA118" s="168"/>
      <c r="CB118" s="167">
        <v>6</v>
      </c>
      <c r="CC118" s="175"/>
      <c r="CD118" s="173" t="s">
        <v>834</v>
      </c>
      <c r="CE118" s="171"/>
      <c r="CF118" s="167" t="s">
        <v>834</v>
      </c>
      <c r="CG118" s="175"/>
      <c r="CH118" s="167">
        <v>4.5</v>
      </c>
      <c r="CI118" s="168"/>
      <c r="CJ118" s="167" t="s">
        <v>834</v>
      </c>
      <c r="CK118" s="168"/>
      <c r="CL118" s="385">
        <v>6.25</v>
      </c>
      <c r="CM118" s="168"/>
      <c r="CN118" s="385" t="s">
        <v>834</v>
      </c>
      <c r="CO118" s="167"/>
      <c r="CP118" s="167" t="s">
        <v>834</v>
      </c>
      <c r="CQ118" s="167"/>
      <c r="CR118" s="373" t="s">
        <v>834</v>
      </c>
      <c r="CS118" s="373"/>
      <c r="CT118" s="432">
        <v>1.5</v>
      </c>
      <c r="CU118" s="168" t="s">
        <v>840</v>
      </c>
      <c r="CV118" s="432">
        <v>6</v>
      </c>
      <c r="CW118" s="168"/>
      <c r="CX118" s="168" t="s">
        <v>834</v>
      </c>
      <c r="CY118" s="168"/>
      <c r="CZ118" s="173" t="s">
        <v>834</v>
      </c>
      <c r="DA118" s="171"/>
      <c r="DB118" s="371" t="s">
        <v>546</v>
      </c>
      <c r="DC118" s="371">
        <f t="shared" si="13"/>
        <v>8</v>
      </c>
      <c r="DD118" s="371"/>
      <c r="DE118" s="371"/>
      <c r="DF118" s="371"/>
      <c r="DG118" s="371"/>
      <c r="DH118" s="371"/>
      <c r="DI118" s="371"/>
      <c r="DJ118" s="371"/>
      <c r="DK118" s="371"/>
      <c r="DL118" s="371"/>
      <c r="DM118" s="371"/>
      <c r="DN118" s="371"/>
      <c r="DO118" s="371"/>
      <c r="DP118" s="371"/>
      <c r="DQ118" s="371"/>
      <c r="DR118" s="371"/>
    </row>
    <row r="119" spans="1:122" ht="18.75" x14ac:dyDescent="0.3">
      <c r="A119" s="325">
        <v>54143</v>
      </c>
      <c r="B119" s="326">
        <v>82</v>
      </c>
      <c r="C119" s="327" t="s">
        <v>1696</v>
      </c>
      <c r="D119" s="424" t="s">
        <v>834</v>
      </c>
      <c r="E119" s="328"/>
      <c r="F119" s="173"/>
      <c r="G119" s="173"/>
      <c r="H119" s="373" t="s">
        <v>834</v>
      </c>
      <c r="I119" s="427"/>
      <c r="J119" s="173">
        <v>5.6</v>
      </c>
      <c r="K119" s="371" t="s">
        <v>1697</v>
      </c>
      <c r="L119" s="426">
        <v>7.25</v>
      </c>
      <c r="M119" s="427" t="s">
        <v>1698</v>
      </c>
      <c r="N119" s="173" t="s">
        <v>834</v>
      </c>
      <c r="O119" s="171"/>
      <c r="P119" s="445">
        <v>6.35</v>
      </c>
      <c r="Q119" s="427" t="s">
        <v>1699</v>
      </c>
      <c r="R119" s="457">
        <v>0.39800000000000002</v>
      </c>
      <c r="S119" s="168" t="s">
        <v>837</v>
      </c>
      <c r="T119" s="428">
        <v>5.75</v>
      </c>
      <c r="U119" s="376" t="s">
        <v>1700</v>
      </c>
      <c r="V119" s="441" t="s">
        <v>834</v>
      </c>
      <c r="W119" s="377" t="s">
        <v>1701</v>
      </c>
      <c r="X119" s="167" t="s">
        <v>834</v>
      </c>
      <c r="Y119" s="168" t="s">
        <v>856</v>
      </c>
      <c r="Z119" s="167">
        <v>4</v>
      </c>
      <c r="AA119" s="168"/>
      <c r="AB119" s="167" t="s">
        <v>834</v>
      </c>
      <c r="AC119" s="168"/>
      <c r="AD119" s="430" t="s">
        <v>834</v>
      </c>
      <c r="AE119" s="168"/>
      <c r="AF119" s="173" t="s">
        <v>834</v>
      </c>
      <c r="AG119" s="171" t="s">
        <v>1702</v>
      </c>
      <c r="AH119" s="167" t="s">
        <v>834</v>
      </c>
      <c r="AI119" s="168" t="s">
        <v>1703</v>
      </c>
      <c r="AJ119" s="373" t="s">
        <v>834</v>
      </c>
      <c r="AK119" s="431"/>
      <c r="AL119" s="167" t="s">
        <v>834</v>
      </c>
      <c r="AM119" s="168" t="s">
        <v>1704</v>
      </c>
      <c r="AN119" s="173" t="s">
        <v>834</v>
      </c>
      <c r="AO119" s="171"/>
      <c r="AP119" s="475">
        <v>5.5</v>
      </c>
      <c r="AQ119" s="168"/>
      <c r="AR119" s="173" t="s">
        <v>834</v>
      </c>
      <c r="AS119" s="171"/>
      <c r="AT119" s="173" t="s">
        <v>834</v>
      </c>
      <c r="AU119" s="171"/>
      <c r="AV119" s="381">
        <v>6</v>
      </c>
      <c r="AW119" s="168" t="s">
        <v>1705</v>
      </c>
      <c r="AX119" s="433">
        <v>6.875</v>
      </c>
      <c r="AY119" s="427" t="s">
        <v>1706</v>
      </c>
      <c r="AZ119" s="167" t="s">
        <v>834</v>
      </c>
      <c r="BA119" s="427"/>
      <c r="BB119" s="164" t="s">
        <v>834</v>
      </c>
      <c r="BC119" s="167"/>
      <c r="BD119" s="464"/>
      <c r="BE119" s="427"/>
      <c r="BF119" s="384">
        <v>5.5</v>
      </c>
      <c r="BG119" s="453" t="s">
        <v>1707</v>
      </c>
      <c r="BH119" s="432" t="s">
        <v>834</v>
      </c>
      <c r="BI119" s="167"/>
      <c r="BJ119" s="167"/>
      <c r="BK119" s="167"/>
      <c r="BL119" s="373">
        <v>6.875</v>
      </c>
      <c r="BM119" s="168" t="s">
        <v>1708</v>
      </c>
      <c r="BN119" s="173">
        <v>5.125</v>
      </c>
      <c r="BO119" s="171"/>
      <c r="BP119" s="435" t="s">
        <v>834</v>
      </c>
      <c r="BQ119" s="436"/>
      <c r="BR119" s="385">
        <v>4.75</v>
      </c>
      <c r="BS119" s="167"/>
      <c r="BT119" s="167" t="s">
        <v>834</v>
      </c>
      <c r="BU119" s="167"/>
      <c r="BV119" s="167" t="s">
        <v>834</v>
      </c>
      <c r="BW119" s="168" t="s">
        <v>1709</v>
      </c>
      <c r="BX119" s="437" t="s">
        <v>834</v>
      </c>
      <c r="BY119" s="171"/>
      <c r="BZ119" s="432"/>
      <c r="CA119" s="168"/>
      <c r="CB119" s="373" t="s">
        <v>834</v>
      </c>
      <c r="CC119" s="175" t="s">
        <v>1710</v>
      </c>
      <c r="CD119" s="173">
        <v>7</v>
      </c>
      <c r="CE119" s="171"/>
      <c r="CF119" s="167">
        <v>6</v>
      </c>
      <c r="CG119" s="175" t="s">
        <v>1711</v>
      </c>
      <c r="CH119" s="167">
        <v>4.5</v>
      </c>
      <c r="CI119" s="168"/>
      <c r="CJ119" s="167">
        <v>7</v>
      </c>
      <c r="CK119" s="168"/>
      <c r="CL119" s="385">
        <v>6.25</v>
      </c>
      <c r="CM119" s="168"/>
      <c r="CN119" s="385">
        <v>4.7</v>
      </c>
      <c r="CO119" s="168" t="s">
        <v>1712</v>
      </c>
      <c r="CP119" s="167">
        <v>6</v>
      </c>
      <c r="CQ119" s="167"/>
      <c r="CR119" s="373" t="s">
        <v>834</v>
      </c>
      <c r="CS119" s="373"/>
      <c r="CT119" s="455">
        <v>1.5</v>
      </c>
      <c r="CU119" s="168" t="s">
        <v>840</v>
      </c>
      <c r="CV119" s="432">
        <v>6</v>
      </c>
      <c r="CW119" s="168"/>
      <c r="CX119" s="168" t="s">
        <v>834</v>
      </c>
      <c r="CY119" s="168" t="s">
        <v>1685</v>
      </c>
      <c r="CZ119" s="173" t="s">
        <v>834</v>
      </c>
      <c r="DA119" s="171" t="s">
        <v>1713</v>
      </c>
      <c r="DB119" s="371" t="s">
        <v>546</v>
      </c>
      <c r="DC119" s="371">
        <f t="shared" si="13"/>
        <v>22</v>
      </c>
      <c r="DD119" s="371"/>
      <c r="DE119" s="371"/>
      <c r="DF119" s="371"/>
      <c r="DG119" s="371"/>
      <c r="DH119" s="371"/>
      <c r="DI119" s="371"/>
      <c r="DJ119" s="371"/>
      <c r="DK119" s="371"/>
      <c r="DL119" s="371"/>
      <c r="DM119" s="371"/>
      <c r="DN119" s="371"/>
      <c r="DO119" s="371"/>
      <c r="DP119" s="371"/>
      <c r="DQ119" s="371"/>
      <c r="DR119" s="371"/>
    </row>
    <row r="120" spans="1:122" ht="18.75" x14ac:dyDescent="0.25">
      <c r="A120" s="325">
        <v>812331</v>
      </c>
      <c r="B120" s="326">
        <v>83</v>
      </c>
      <c r="C120" s="327" t="s">
        <v>1714</v>
      </c>
      <c r="D120" s="424">
        <v>2</v>
      </c>
      <c r="E120" s="328" t="s">
        <v>1621</v>
      </c>
      <c r="F120" s="173" t="s">
        <v>546</v>
      </c>
      <c r="G120" s="173"/>
      <c r="H120" s="373">
        <v>6.5</v>
      </c>
      <c r="I120" s="427" t="s">
        <v>1715</v>
      </c>
      <c r="J120" s="173">
        <v>5.6</v>
      </c>
      <c r="K120" s="371" t="s">
        <v>1461</v>
      </c>
      <c r="L120" s="426" t="s">
        <v>834</v>
      </c>
      <c r="M120" s="427" t="s">
        <v>1716</v>
      </c>
      <c r="N120" s="173" t="s">
        <v>834</v>
      </c>
      <c r="O120" s="171" t="s">
        <v>1717</v>
      </c>
      <c r="P120" s="445" t="s">
        <v>834</v>
      </c>
      <c r="Q120" s="427" t="s">
        <v>1718</v>
      </c>
      <c r="R120" s="457">
        <v>0.39800000000000002</v>
      </c>
      <c r="S120" s="168" t="s">
        <v>837</v>
      </c>
      <c r="T120" s="561">
        <v>5.75</v>
      </c>
      <c r="U120" s="470" t="s">
        <v>1719</v>
      </c>
      <c r="V120" s="429">
        <v>6</v>
      </c>
      <c r="W120" s="377" t="s">
        <v>992</v>
      </c>
      <c r="X120" s="167">
        <v>4</v>
      </c>
      <c r="Y120" s="168"/>
      <c r="Z120" s="167">
        <v>4</v>
      </c>
      <c r="AA120" s="168" t="s">
        <v>1720</v>
      </c>
      <c r="AB120" s="167" t="s">
        <v>834</v>
      </c>
      <c r="AC120" s="168"/>
      <c r="AD120" s="430" t="s">
        <v>834</v>
      </c>
      <c r="AE120" s="168"/>
      <c r="AF120" s="173">
        <v>7</v>
      </c>
      <c r="AG120" s="171"/>
      <c r="AH120" s="167">
        <v>6</v>
      </c>
      <c r="AI120" s="168"/>
      <c r="AJ120" s="373">
        <v>6.5</v>
      </c>
      <c r="AK120" s="431" t="s">
        <v>863</v>
      </c>
      <c r="AL120" s="167" t="s">
        <v>834</v>
      </c>
      <c r="AM120" s="168"/>
      <c r="AN120" s="173">
        <v>5</v>
      </c>
      <c r="AO120" s="171"/>
      <c r="AP120" s="432" t="s">
        <v>834</v>
      </c>
      <c r="AQ120" s="168"/>
      <c r="AR120" s="173">
        <v>6</v>
      </c>
      <c r="AS120" s="171" t="s">
        <v>546</v>
      </c>
      <c r="AT120" s="173" t="s">
        <v>834</v>
      </c>
      <c r="AU120" s="171"/>
      <c r="AV120" s="458">
        <v>6</v>
      </c>
      <c r="AW120" s="168" t="s">
        <v>1628</v>
      </c>
      <c r="AX120" s="433">
        <v>6.875</v>
      </c>
      <c r="AY120" s="427"/>
      <c r="AZ120" s="167">
        <v>7</v>
      </c>
      <c r="BA120" s="427"/>
      <c r="BB120" s="164" t="s">
        <v>834</v>
      </c>
      <c r="BC120" s="168" t="s">
        <v>1721</v>
      </c>
      <c r="BD120" s="464" t="s">
        <v>546</v>
      </c>
      <c r="BE120" s="427"/>
      <c r="BF120" s="384">
        <v>5.5</v>
      </c>
      <c r="BG120" s="168"/>
      <c r="BH120" s="432" t="s">
        <v>834</v>
      </c>
      <c r="BI120" s="168"/>
      <c r="BJ120" s="167" t="s">
        <v>546</v>
      </c>
      <c r="BK120" s="167"/>
      <c r="BL120" s="167">
        <v>6.875</v>
      </c>
      <c r="BM120" s="168" t="s">
        <v>1722</v>
      </c>
      <c r="BN120" s="173">
        <v>5.125</v>
      </c>
      <c r="BO120" s="171"/>
      <c r="BP120" s="435" t="s">
        <v>834</v>
      </c>
      <c r="BQ120" s="436"/>
      <c r="BR120" s="385">
        <v>4.75</v>
      </c>
      <c r="BS120" s="168"/>
      <c r="BT120" s="167">
        <v>5</v>
      </c>
      <c r="BU120" s="168" t="s">
        <v>1632</v>
      </c>
      <c r="BV120" s="429">
        <v>5.75</v>
      </c>
      <c r="BW120" s="168" t="s">
        <v>1723</v>
      </c>
      <c r="BX120" s="437">
        <v>4.5</v>
      </c>
      <c r="BY120" s="171"/>
      <c r="BZ120" s="432"/>
      <c r="CA120" s="168"/>
      <c r="CB120" s="167">
        <v>6</v>
      </c>
      <c r="CC120" s="175"/>
      <c r="CD120" s="173" t="s">
        <v>834</v>
      </c>
      <c r="CE120" s="171" t="s">
        <v>1724</v>
      </c>
      <c r="CF120" s="167">
        <v>6</v>
      </c>
      <c r="CG120" s="175"/>
      <c r="CH120" s="167">
        <v>4.5</v>
      </c>
      <c r="CI120" s="168"/>
      <c r="CJ120" s="167">
        <v>7</v>
      </c>
      <c r="CK120" s="168"/>
      <c r="CL120" s="385">
        <v>6.25</v>
      </c>
      <c r="CM120" s="168"/>
      <c r="CN120" s="385">
        <v>4.7</v>
      </c>
      <c r="CO120" s="167"/>
      <c r="CP120" s="167" t="s">
        <v>834</v>
      </c>
      <c r="CQ120" s="167"/>
      <c r="CR120" s="373">
        <v>5.3</v>
      </c>
      <c r="CS120" s="373"/>
      <c r="CT120" s="432">
        <v>6.5</v>
      </c>
      <c r="CU120" s="168" t="s">
        <v>938</v>
      </c>
      <c r="CV120" s="432">
        <v>6</v>
      </c>
      <c r="CW120" s="168"/>
      <c r="CX120" s="168">
        <v>5</v>
      </c>
      <c r="CY120" s="168"/>
      <c r="CZ120" s="173">
        <v>4</v>
      </c>
      <c r="DA120" s="171" t="s">
        <v>1725</v>
      </c>
      <c r="DB120" s="371" t="s">
        <v>546</v>
      </c>
      <c r="DC120" s="371">
        <f t="shared" si="13"/>
        <v>34</v>
      </c>
      <c r="DD120" s="371"/>
      <c r="DE120" s="371"/>
      <c r="DF120" s="371"/>
      <c r="DG120" s="371"/>
      <c r="DH120" s="371"/>
      <c r="DI120" s="371"/>
      <c r="DJ120" s="371"/>
      <c r="DK120" s="371"/>
      <c r="DL120" s="371"/>
      <c r="DM120" s="371"/>
      <c r="DN120" s="371"/>
      <c r="DO120" s="371"/>
      <c r="DP120" s="371"/>
      <c r="DQ120" s="371"/>
      <c r="DR120" s="371"/>
    </row>
    <row r="121" spans="1:122" ht="18.75" x14ac:dyDescent="0.25">
      <c r="A121" s="325">
        <v>56145</v>
      </c>
      <c r="B121" s="326">
        <v>84</v>
      </c>
      <c r="C121" s="327" t="s">
        <v>1726</v>
      </c>
      <c r="D121" s="424" t="s">
        <v>834</v>
      </c>
      <c r="E121" s="328"/>
      <c r="F121" s="173"/>
      <c r="G121" s="173"/>
      <c r="H121" s="373" t="s">
        <v>834</v>
      </c>
      <c r="I121" s="427"/>
      <c r="J121" s="173" t="s">
        <v>834</v>
      </c>
      <c r="K121" s="371"/>
      <c r="L121" s="426" t="s">
        <v>834</v>
      </c>
      <c r="M121" s="427"/>
      <c r="N121" s="173" t="s">
        <v>834</v>
      </c>
      <c r="O121" s="171"/>
      <c r="P121" s="445">
        <v>6.35</v>
      </c>
      <c r="Q121" s="427"/>
      <c r="R121" s="457">
        <v>0.39800000000000002</v>
      </c>
      <c r="S121" s="168" t="s">
        <v>837</v>
      </c>
      <c r="T121" s="561">
        <v>5.75</v>
      </c>
      <c r="U121" s="470" t="s">
        <v>1727</v>
      </c>
      <c r="V121" s="429" t="s">
        <v>834</v>
      </c>
      <c r="W121" s="377" t="s">
        <v>992</v>
      </c>
      <c r="X121" s="167" t="s">
        <v>834</v>
      </c>
      <c r="Y121" s="168" t="s">
        <v>856</v>
      </c>
      <c r="Z121" s="167">
        <v>4</v>
      </c>
      <c r="AA121" s="168"/>
      <c r="AB121" s="167" t="s">
        <v>834</v>
      </c>
      <c r="AC121" s="168"/>
      <c r="AD121" s="430" t="s">
        <v>834</v>
      </c>
      <c r="AE121" s="168"/>
      <c r="AF121" s="173" t="s">
        <v>834</v>
      </c>
      <c r="AG121" s="171"/>
      <c r="AH121" s="167" t="s">
        <v>834</v>
      </c>
      <c r="AI121" s="168"/>
      <c r="AJ121" s="373" t="s">
        <v>834</v>
      </c>
      <c r="AK121" s="431"/>
      <c r="AL121" s="167" t="s">
        <v>834</v>
      </c>
      <c r="AM121" s="168"/>
      <c r="AN121" s="173" t="s">
        <v>834</v>
      </c>
      <c r="AO121" s="171"/>
      <c r="AP121" s="432" t="s">
        <v>834</v>
      </c>
      <c r="AQ121" s="168"/>
      <c r="AR121" s="173">
        <v>6</v>
      </c>
      <c r="AS121" s="171"/>
      <c r="AT121" s="173" t="s">
        <v>834</v>
      </c>
      <c r="AU121" s="171"/>
      <c r="AV121" s="381" t="s">
        <v>834</v>
      </c>
      <c r="AW121" s="167"/>
      <c r="AX121" s="433" t="s">
        <v>834</v>
      </c>
      <c r="AY121" s="427"/>
      <c r="AZ121" s="167" t="s">
        <v>834</v>
      </c>
      <c r="BA121" s="427"/>
      <c r="BB121" s="164" t="s">
        <v>834</v>
      </c>
      <c r="BC121" s="167"/>
      <c r="BD121" s="464"/>
      <c r="BE121" s="427"/>
      <c r="BF121" s="384" t="s">
        <v>834</v>
      </c>
      <c r="BG121" s="168"/>
      <c r="BH121" s="432" t="s">
        <v>834</v>
      </c>
      <c r="BI121" s="167"/>
      <c r="BJ121" s="167"/>
      <c r="BK121" s="167"/>
      <c r="BL121" s="167">
        <v>6.875</v>
      </c>
      <c r="BM121" s="168" t="s">
        <v>1728</v>
      </c>
      <c r="BN121" s="173">
        <v>5.125</v>
      </c>
      <c r="BO121" s="171"/>
      <c r="BP121" s="435" t="s">
        <v>834</v>
      </c>
      <c r="BQ121" s="436" t="s">
        <v>1729</v>
      </c>
      <c r="BR121" s="167" t="s">
        <v>834</v>
      </c>
      <c r="BS121" s="167"/>
      <c r="BT121" s="167" t="s">
        <v>834</v>
      </c>
      <c r="BU121" s="167"/>
      <c r="BV121" s="167" t="s">
        <v>834</v>
      </c>
      <c r="BW121" s="167"/>
      <c r="BX121" s="437" t="s">
        <v>834</v>
      </c>
      <c r="BY121" s="171"/>
      <c r="BZ121" s="432"/>
      <c r="CA121" s="168"/>
      <c r="CB121" s="167">
        <v>6</v>
      </c>
      <c r="CC121" s="175"/>
      <c r="CD121" s="173" t="s">
        <v>834</v>
      </c>
      <c r="CE121" s="171"/>
      <c r="CF121" s="373">
        <v>6</v>
      </c>
      <c r="CG121" s="175" t="s">
        <v>1429</v>
      </c>
      <c r="CH121" s="167">
        <v>4.5</v>
      </c>
      <c r="CI121" s="168"/>
      <c r="CJ121" s="167" t="s">
        <v>834</v>
      </c>
      <c r="CK121" s="168"/>
      <c r="CL121" s="385">
        <v>6.25</v>
      </c>
      <c r="CM121" s="168"/>
      <c r="CN121" s="385" t="s">
        <v>834</v>
      </c>
      <c r="CO121" s="167"/>
      <c r="CP121" s="167" t="s">
        <v>834</v>
      </c>
      <c r="CQ121" s="167"/>
      <c r="CR121" s="373" t="s">
        <v>834</v>
      </c>
      <c r="CS121" s="373"/>
      <c r="CT121" s="432">
        <v>6.5</v>
      </c>
      <c r="CU121" s="168" t="s">
        <v>938</v>
      </c>
      <c r="CV121" s="432">
        <v>6</v>
      </c>
      <c r="CW121" s="168"/>
      <c r="CX121" s="168" t="s">
        <v>834</v>
      </c>
      <c r="CY121" s="168"/>
      <c r="CZ121" s="173" t="s">
        <v>834</v>
      </c>
      <c r="DA121" s="171"/>
      <c r="DB121" s="371" t="s">
        <v>546</v>
      </c>
      <c r="DC121" s="371">
        <f t="shared" si="13"/>
        <v>13</v>
      </c>
      <c r="DD121" s="371"/>
      <c r="DE121" s="371"/>
      <c r="DF121" s="371"/>
      <c r="DG121" s="371"/>
      <c r="DH121" s="371"/>
      <c r="DI121" s="371"/>
      <c r="DJ121" s="371"/>
      <c r="DK121" s="371"/>
      <c r="DL121" s="371"/>
      <c r="DM121" s="371"/>
      <c r="DN121" s="371"/>
      <c r="DO121" s="371"/>
      <c r="DP121" s="371"/>
      <c r="DQ121" s="371"/>
      <c r="DR121" s="371"/>
    </row>
    <row r="122" spans="1:122" ht="18.75" x14ac:dyDescent="0.3">
      <c r="A122" s="325">
        <v>56131</v>
      </c>
      <c r="B122" s="326">
        <v>85</v>
      </c>
      <c r="C122" s="327" t="s">
        <v>1730</v>
      </c>
      <c r="D122" s="424" t="s">
        <v>834</v>
      </c>
      <c r="E122" s="328"/>
      <c r="F122" s="173"/>
      <c r="G122" s="173"/>
      <c r="H122" s="373" t="s">
        <v>834</v>
      </c>
      <c r="I122" s="427"/>
      <c r="J122" s="173" t="s">
        <v>834</v>
      </c>
      <c r="K122" s="371"/>
      <c r="L122" s="426" t="s">
        <v>834</v>
      </c>
      <c r="M122" s="427"/>
      <c r="N122" s="173" t="s">
        <v>834</v>
      </c>
      <c r="O122" s="171"/>
      <c r="P122" s="445">
        <v>6.35</v>
      </c>
      <c r="Q122" s="427"/>
      <c r="R122" s="457">
        <v>0.39800000000000002</v>
      </c>
      <c r="S122" s="168" t="s">
        <v>837</v>
      </c>
      <c r="T122" s="428">
        <v>5.75</v>
      </c>
      <c r="U122" s="376"/>
      <c r="V122" s="429" t="s">
        <v>834</v>
      </c>
      <c r="W122" s="377" t="s">
        <v>992</v>
      </c>
      <c r="X122" s="167" t="s">
        <v>834</v>
      </c>
      <c r="Y122" s="168" t="s">
        <v>856</v>
      </c>
      <c r="Z122" s="167">
        <v>4</v>
      </c>
      <c r="AA122" s="168"/>
      <c r="AB122" s="167" t="s">
        <v>834</v>
      </c>
      <c r="AC122" s="168"/>
      <c r="AD122" s="430" t="s">
        <v>834</v>
      </c>
      <c r="AE122" s="168"/>
      <c r="AF122" s="173" t="s">
        <v>834</v>
      </c>
      <c r="AG122" s="171"/>
      <c r="AH122" s="373">
        <v>6</v>
      </c>
      <c r="AI122" s="168" t="s">
        <v>1731</v>
      </c>
      <c r="AJ122" s="373" t="s">
        <v>834</v>
      </c>
      <c r="AK122" s="431"/>
      <c r="AL122" s="167" t="s">
        <v>834</v>
      </c>
      <c r="AM122" s="168"/>
      <c r="AN122" s="173" t="s">
        <v>834</v>
      </c>
      <c r="AO122" s="171"/>
      <c r="AP122" s="432" t="s">
        <v>834</v>
      </c>
      <c r="AQ122" s="168"/>
      <c r="AR122" s="173" t="s">
        <v>834</v>
      </c>
      <c r="AS122" s="171"/>
      <c r="AT122" s="173" t="s">
        <v>834</v>
      </c>
      <c r="AU122" s="171"/>
      <c r="AV122" s="381" t="s">
        <v>834</v>
      </c>
      <c r="AW122" s="167"/>
      <c r="AX122" s="433" t="s">
        <v>834</v>
      </c>
      <c r="AY122" s="427"/>
      <c r="AZ122" s="167" t="s">
        <v>834</v>
      </c>
      <c r="BA122" s="427"/>
      <c r="BB122" s="164" t="s">
        <v>834</v>
      </c>
      <c r="BC122" s="167"/>
      <c r="BD122" s="464"/>
      <c r="BE122" s="427"/>
      <c r="BF122" s="384" t="s">
        <v>834</v>
      </c>
      <c r="BG122" s="168"/>
      <c r="BH122" s="432" t="s">
        <v>834</v>
      </c>
      <c r="BI122" s="167"/>
      <c r="BJ122" s="167"/>
      <c r="BK122" s="167"/>
      <c r="BL122" s="167" t="s">
        <v>834</v>
      </c>
      <c r="BM122" s="167"/>
      <c r="BN122" s="173">
        <v>5.125</v>
      </c>
      <c r="BO122" s="171"/>
      <c r="BP122" s="435" t="s">
        <v>834</v>
      </c>
      <c r="BQ122" s="436" t="s">
        <v>546</v>
      </c>
      <c r="BR122" s="167" t="s">
        <v>834</v>
      </c>
      <c r="BS122" s="167"/>
      <c r="BT122" s="167" t="s">
        <v>834</v>
      </c>
      <c r="BU122" s="167"/>
      <c r="BV122" s="429">
        <v>5.75</v>
      </c>
      <c r="BW122" s="168" t="s">
        <v>1732</v>
      </c>
      <c r="BX122" s="437" t="s">
        <v>834</v>
      </c>
      <c r="BY122" s="171"/>
      <c r="BZ122" s="432"/>
      <c r="CA122" s="168"/>
      <c r="CB122" s="167">
        <v>6</v>
      </c>
      <c r="CC122" s="175"/>
      <c r="CD122" s="173" t="s">
        <v>834</v>
      </c>
      <c r="CE122" s="171"/>
      <c r="CF122" s="167" t="s">
        <v>834</v>
      </c>
      <c r="CG122" s="175"/>
      <c r="CH122" s="167">
        <v>4.5</v>
      </c>
      <c r="CI122" s="168"/>
      <c r="CJ122" s="167" t="s">
        <v>834</v>
      </c>
      <c r="CK122" s="168"/>
      <c r="CL122" s="385" t="s">
        <v>834</v>
      </c>
      <c r="CM122" s="168"/>
      <c r="CN122" s="385" t="s">
        <v>834</v>
      </c>
      <c r="CO122" s="167"/>
      <c r="CP122" s="167" t="s">
        <v>834</v>
      </c>
      <c r="CQ122" s="167"/>
      <c r="CR122" s="373" t="s">
        <v>834</v>
      </c>
      <c r="CS122" s="373"/>
      <c r="CT122" s="432">
        <v>1.5</v>
      </c>
      <c r="CU122" s="168" t="s">
        <v>840</v>
      </c>
      <c r="CV122" s="432">
        <v>6</v>
      </c>
      <c r="CW122" s="168"/>
      <c r="CX122" s="168" t="s">
        <v>834</v>
      </c>
      <c r="CY122" s="168"/>
      <c r="CZ122" s="173" t="s">
        <v>834</v>
      </c>
      <c r="DA122" s="171"/>
      <c r="DB122" s="371" t="s">
        <v>546</v>
      </c>
      <c r="DC122" s="371">
        <f t="shared" si="13"/>
        <v>11</v>
      </c>
      <c r="DD122" s="371"/>
      <c r="DE122" s="371"/>
      <c r="DF122" s="371"/>
      <c r="DG122" s="371"/>
      <c r="DH122" s="371"/>
      <c r="DI122" s="371"/>
      <c r="DJ122" s="371"/>
      <c r="DK122" s="371"/>
      <c r="DL122" s="371"/>
      <c r="DM122" s="371"/>
      <c r="DN122" s="371"/>
      <c r="DO122" s="371"/>
      <c r="DP122" s="371"/>
      <c r="DQ122" s="371"/>
      <c r="DR122" s="371"/>
    </row>
    <row r="123" spans="1:122" ht="18.75" x14ac:dyDescent="0.3">
      <c r="A123" s="325">
        <v>54141</v>
      </c>
      <c r="B123" s="326">
        <v>86</v>
      </c>
      <c r="C123" s="327" t="s">
        <v>1733</v>
      </c>
      <c r="D123" s="562">
        <v>4</v>
      </c>
      <c r="E123" s="328" t="s">
        <v>1734</v>
      </c>
      <c r="F123" s="173" t="s">
        <v>546</v>
      </c>
      <c r="G123" s="173"/>
      <c r="H123" s="373" t="s">
        <v>834</v>
      </c>
      <c r="I123" s="427" t="s">
        <v>1735</v>
      </c>
      <c r="J123" s="173" t="s">
        <v>834</v>
      </c>
      <c r="K123" s="371" t="s">
        <v>1736</v>
      </c>
      <c r="L123" s="426" t="s">
        <v>834</v>
      </c>
      <c r="M123" s="427" t="s">
        <v>1737</v>
      </c>
      <c r="N123" s="173" t="s">
        <v>834</v>
      </c>
      <c r="O123" s="171"/>
      <c r="P123" s="445" t="s">
        <v>834</v>
      </c>
      <c r="Q123" s="427"/>
      <c r="R123" s="457">
        <v>0.39800000000000002</v>
      </c>
      <c r="S123" s="168" t="s">
        <v>837</v>
      </c>
      <c r="T123" s="428" t="s">
        <v>834</v>
      </c>
      <c r="U123" s="470" t="s">
        <v>1738</v>
      </c>
      <c r="V123" s="429" t="s">
        <v>834</v>
      </c>
      <c r="W123" s="377" t="s">
        <v>992</v>
      </c>
      <c r="X123" s="167" t="s">
        <v>834</v>
      </c>
      <c r="Y123" s="168" t="s">
        <v>856</v>
      </c>
      <c r="Z123" s="167">
        <v>4</v>
      </c>
      <c r="AA123" s="168"/>
      <c r="AB123" s="167" t="s">
        <v>834</v>
      </c>
      <c r="AC123" s="168"/>
      <c r="AD123" s="430" t="s">
        <v>834</v>
      </c>
      <c r="AE123" s="168"/>
      <c r="AF123" s="173" t="s">
        <v>834</v>
      </c>
      <c r="AG123" s="171" t="s">
        <v>1702</v>
      </c>
      <c r="AH123" s="373">
        <v>6</v>
      </c>
      <c r="AI123" s="168"/>
      <c r="AJ123" s="373" t="s">
        <v>834</v>
      </c>
      <c r="AK123" s="431" t="s">
        <v>1739</v>
      </c>
      <c r="AL123" s="167" t="s">
        <v>834</v>
      </c>
      <c r="AM123" s="168"/>
      <c r="AN123" s="173" t="s">
        <v>834</v>
      </c>
      <c r="AO123" s="171" t="s">
        <v>1740</v>
      </c>
      <c r="AP123" s="432" t="s">
        <v>834</v>
      </c>
      <c r="AQ123" s="168"/>
      <c r="AR123" s="173" t="s">
        <v>834</v>
      </c>
      <c r="AS123" s="171" t="s">
        <v>1741</v>
      </c>
      <c r="AT123" s="173" t="s">
        <v>834</v>
      </c>
      <c r="AU123" s="171"/>
      <c r="AV123" s="381" t="s">
        <v>834</v>
      </c>
      <c r="AW123" s="167"/>
      <c r="AX123" s="433" t="s">
        <v>834</v>
      </c>
      <c r="AY123" s="427" t="s">
        <v>1742</v>
      </c>
      <c r="AZ123" s="373" t="s">
        <v>834</v>
      </c>
      <c r="BA123" s="462" t="s">
        <v>1743</v>
      </c>
      <c r="BB123" s="164" t="s">
        <v>834</v>
      </c>
      <c r="BC123" s="167"/>
      <c r="BD123" s="464"/>
      <c r="BE123" s="427"/>
      <c r="BF123" s="384" t="s">
        <v>834</v>
      </c>
      <c r="BG123" s="168"/>
      <c r="BH123" s="432" t="s">
        <v>834</v>
      </c>
      <c r="BI123" s="167"/>
      <c r="BJ123" s="167"/>
      <c r="BK123" s="167"/>
      <c r="BL123" s="167" t="s">
        <v>834</v>
      </c>
      <c r="BM123" s="168" t="s">
        <v>1744</v>
      </c>
      <c r="BN123" s="173">
        <v>5.125</v>
      </c>
      <c r="BO123" s="171"/>
      <c r="BP123" s="435">
        <v>4</v>
      </c>
      <c r="BQ123" s="436"/>
      <c r="BR123" s="445">
        <v>4.75</v>
      </c>
      <c r="BS123" s="168" t="s">
        <v>1745</v>
      </c>
      <c r="BT123" s="167" t="s">
        <v>834</v>
      </c>
      <c r="BU123" s="167"/>
      <c r="BV123" s="167" t="s">
        <v>834</v>
      </c>
      <c r="BW123" s="168" t="s">
        <v>1746</v>
      </c>
      <c r="BX123" s="437" t="s">
        <v>834</v>
      </c>
      <c r="BY123" s="171"/>
      <c r="BZ123" s="432"/>
      <c r="CA123" s="168"/>
      <c r="CB123" s="167" t="s">
        <v>834</v>
      </c>
      <c r="CC123" s="175" t="s">
        <v>1710</v>
      </c>
      <c r="CD123" s="173" t="s">
        <v>834</v>
      </c>
      <c r="CE123" s="171"/>
      <c r="CF123" s="167" t="s">
        <v>834</v>
      </c>
      <c r="CG123" s="175" t="s">
        <v>1747</v>
      </c>
      <c r="CH123" s="167">
        <v>4.5</v>
      </c>
      <c r="CI123" s="168" t="s">
        <v>1748</v>
      </c>
      <c r="CJ123" s="167" t="s">
        <v>834</v>
      </c>
      <c r="CK123" s="174" t="s">
        <v>1749</v>
      </c>
      <c r="CL123" s="385" t="s">
        <v>834</v>
      </c>
      <c r="CM123" s="168"/>
      <c r="CN123" s="385" t="s">
        <v>834</v>
      </c>
      <c r="CO123" s="168"/>
      <c r="CP123" s="167" t="s">
        <v>834</v>
      </c>
      <c r="CQ123" s="167"/>
      <c r="CR123" s="373" t="s">
        <v>834</v>
      </c>
      <c r="CS123" s="427" t="s">
        <v>1750</v>
      </c>
      <c r="CT123" s="455">
        <v>1.5</v>
      </c>
      <c r="CU123" s="168" t="s">
        <v>840</v>
      </c>
      <c r="CV123" s="432">
        <v>6</v>
      </c>
      <c r="CW123" s="168"/>
      <c r="CX123" s="168" t="s">
        <v>834</v>
      </c>
      <c r="CY123" s="168" t="s">
        <v>1751</v>
      </c>
      <c r="CZ123" s="173" t="s">
        <v>834</v>
      </c>
      <c r="DA123" s="171" t="s">
        <v>1752</v>
      </c>
      <c r="DB123" s="371" t="s">
        <v>546</v>
      </c>
      <c r="DC123" s="371">
        <f t="shared" si="13"/>
        <v>10</v>
      </c>
      <c r="DD123" s="371"/>
      <c r="DE123" s="371"/>
      <c r="DF123" s="371"/>
      <c r="DG123" s="371"/>
      <c r="DH123" s="371"/>
      <c r="DI123" s="371"/>
      <c r="DJ123" s="371"/>
      <c r="DK123" s="371"/>
      <c r="DL123" s="371"/>
      <c r="DM123" s="371"/>
      <c r="DN123" s="371"/>
      <c r="DO123" s="371"/>
      <c r="DP123" s="371"/>
      <c r="DQ123" s="371"/>
      <c r="DR123" s="371"/>
    </row>
    <row r="124" spans="1:122" ht="18.75" x14ac:dyDescent="0.3">
      <c r="A124" s="325">
        <v>56172</v>
      </c>
      <c r="B124" s="326">
        <v>87</v>
      </c>
      <c r="C124" s="327" t="s">
        <v>1753</v>
      </c>
      <c r="D124" s="424" t="s">
        <v>834</v>
      </c>
      <c r="E124" s="328"/>
      <c r="F124" s="173"/>
      <c r="G124" s="173"/>
      <c r="H124" s="373">
        <v>6.5</v>
      </c>
      <c r="I124" s="427"/>
      <c r="J124" s="173" t="s">
        <v>834</v>
      </c>
      <c r="K124" s="371" t="s">
        <v>1754</v>
      </c>
      <c r="L124" s="426" t="s">
        <v>834</v>
      </c>
      <c r="M124" s="427"/>
      <c r="N124" s="173" t="s">
        <v>834</v>
      </c>
      <c r="O124" s="171"/>
      <c r="P124" s="445">
        <v>6.35</v>
      </c>
      <c r="Q124" s="427"/>
      <c r="R124" s="457">
        <v>0.39800000000000002</v>
      </c>
      <c r="S124" s="168" t="s">
        <v>837</v>
      </c>
      <c r="T124" s="428">
        <v>5.75</v>
      </c>
      <c r="U124" s="376"/>
      <c r="V124" s="429">
        <v>6</v>
      </c>
      <c r="W124" s="377" t="s">
        <v>992</v>
      </c>
      <c r="X124" s="167" t="s">
        <v>834</v>
      </c>
      <c r="Y124" s="168" t="s">
        <v>856</v>
      </c>
      <c r="Z124" s="167">
        <v>4</v>
      </c>
      <c r="AA124" s="168"/>
      <c r="AB124" s="167" t="s">
        <v>834</v>
      </c>
      <c r="AC124" s="168"/>
      <c r="AD124" s="430" t="s">
        <v>834</v>
      </c>
      <c r="AE124" s="168"/>
      <c r="AF124" s="173" t="s">
        <v>834</v>
      </c>
      <c r="AG124" s="171"/>
      <c r="AH124" s="373">
        <v>6</v>
      </c>
      <c r="AI124" s="168"/>
      <c r="AJ124" s="425" t="s">
        <v>834</v>
      </c>
      <c r="AK124" s="431" t="s">
        <v>1755</v>
      </c>
      <c r="AL124" s="167" t="s">
        <v>834</v>
      </c>
      <c r="AM124" s="168"/>
      <c r="AN124" s="173" t="s">
        <v>834</v>
      </c>
      <c r="AO124" s="171"/>
      <c r="AP124" s="432" t="s">
        <v>834</v>
      </c>
      <c r="AQ124" s="168"/>
      <c r="AR124" s="173">
        <v>6</v>
      </c>
      <c r="AS124" s="171" t="s">
        <v>1756</v>
      </c>
      <c r="AT124" s="173" t="s">
        <v>834</v>
      </c>
      <c r="AU124" s="171"/>
      <c r="AV124" s="381" t="s">
        <v>834</v>
      </c>
      <c r="AW124" s="167"/>
      <c r="AX124" s="433">
        <v>6.875</v>
      </c>
      <c r="AY124" s="427"/>
      <c r="AZ124" s="167" t="s">
        <v>834</v>
      </c>
      <c r="BA124" s="427"/>
      <c r="BB124" s="164" t="s">
        <v>834</v>
      </c>
      <c r="BC124" s="167"/>
      <c r="BD124" s="464"/>
      <c r="BE124" s="427"/>
      <c r="BF124" s="384">
        <v>5.5</v>
      </c>
      <c r="BG124" s="168" t="s">
        <v>1757</v>
      </c>
      <c r="BH124" s="432" t="s">
        <v>834</v>
      </c>
      <c r="BI124" s="167"/>
      <c r="BJ124" s="167"/>
      <c r="BK124" s="167"/>
      <c r="BL124" s="167">
        <v>6.875</v>
      </c>
      <c r="BM124" s="168"/>
      <c r="BN124" s="173">
        <v>5.125</v>
      </c>
      <c r="BO124" s="171"/>
      <c r="BP124" s="435">
        <v>4</v>
      </c>
      <c r="BQ124" s="436"/>
      <c r="BR124" s="167" t="s">
        <v>834</v>
      </c>
      <c r="BS124" s="167"/>
      <c r="BT124" s="167" t="s">
        <v>834</v>
      </c>
      <c r="BU124" s="167"/>
      <c r="BV124" s="429">
        <v>5.75</v>
      </c>
      <c r="BW124" s="167"/>
      <c r="BX124" s="437" t="s">
        <v>834</v>
      </c>
      <c r="BY124" s="171"/>
      <c r="BZ124" s="432"/>
      <c r="CA124" s="168"/>
      <c r="CB124" s="167">
        <v>6</v>
      </c>
      <c r="CC124" s="175"/>
      <c r="CD124" s="173" t="s">
        <v>834</v>
      </c>
      <c r="CE124" s="171"/>
      <c r="CF124" s="167" t="s">
        <v>834</v>
      </c>
      <c r="CG124" s="167"/>
      <c r="CH124" s="167">
        <v>4.5</v>
      </c>
      <c r="CI124" s="168"/>
      <c r="CJ124" s="167" t="s">
        <v>834</v>
      </c>
      <c r="CK124" s="168" t="s">
        <v>1758</v>
      </c>
      <c r="CL124" s="385">
        <v>6.25</v>
      </c>
      <c r="CM124" s="168" t="s">
        <v>1759</v>
      </c>
      <c r="CN124" s="385" t="s">
        <v>834</v>
      </c>
      <c r="CO124" s="167"/>
      <c r="CP124" s="167" t="s">
        <v>834</v>
      </c>
      <c r="CQ124" s="167"/>
      <c r="CR124" s="373" t="s">
        <v>834</v>
      </c>
      <c r="CS124" s="373"/>
      <c r="CT124" s="432">
        <v>1.5</v>
      </c>
      <c r="CU124" s="168" t="s">
        <v>840</v>
      </c>
      <c r="CV124" s="432">
        <v>6</v>
      </c>
      <c r="CW124" s="168"/>
      <c r="CX124" s="168" t="s">
        <v>834</v>
      </c>
      <c r="CY124" s="168" t="s">
        <v>1760</v>
      </c>
      <c r="CZ124" s="173" t="s">
        <v>834</v>
      </c>
      <c r="DA124" s="171" t="s">
        <v>1761</v>
      </c>
      <c r="DB124" s="371" t="s">
        <v>546</v>
      </c>
      <c r="DC124" s="371">
        <f t="shared" si="13"/>
        <v>19</v>
      </c>
      <c r="DD124" s="371"/>
      <c r="DE124" s="371"/>
      <c r="DF124" s="371"/>
      <c r="DG124" s="371"/>
      <c r="DH124" s="371"/>
      <c r="DI124" s="371"/>
      <c r="DJ124" s="371"/>
      <c r="DK124" s="371"/>
      <c r="DL124" s="371"/>
      <c r="DM124" s="371"/>
      <c r="DN124" s="371"/>
      <c r="DO124" s="371"/>
      <c r="DP124" s="371"/>
      <c r="DQ124" s="371"/>
      <c r="DR124" s="371"/>
    </row>
    <row r="125" spans="1:122" ht="18.75" x14ac:dyDescent="0.3">
      <c r="A125" s="325">
        <v>541820</v>
      </c>
      <c r="B125" s="326">
        <v>88</v>
      </c>
      <c r="C125" s="327" t="s">
        <v>1762</v>
      </c>
      <c r="D125" s="424" t="s">
        <v>834</v>
      </c>
      <c r="E125" s="328"/>
      <c r="F125" s="173"/>
      <c r="G125" s="173"/>
      <c r="H125" s="373" t="s">
        <v>834</v>
      </c>
      <c r="I125" s="427"/>
      <c r="J125" s="173" t="s">
        <v>834</v>
      </c>
      <c r="K125" s="371"/>
      <c r="L125" s="426" t="s">
        <v>834</v>
      </c>
      <c r="M125" s="427"/>
      <c r="N125" s="173" t="s">
        <v>834</v>
      </c>
      <c r="O125" s="171"/>
      <c r="P125" s="445">
        <v>6.35</v>
      </c>
      <c r="Q125" s="427" t="s">
        <v>1763</v>
      </c>
      <c r="R125" s="457">
        <v>0.39800000000000002</v>
      </c>
      <c r="S125" s="168" t="s">
        <v>837</v>
      </c>
      <c r="T125" s="428" t="s">
        <v>834</v>
      </c>
      <c r="U125" s="376"/>
      <c r="V125" s="429" t="s">
        <v>834</v>
      </c>
      <c r="W125" s="377" t="s">
        <v>992</v>
      </c>
      <c r="X125" s="167" t="s">
        <v>834</v>
      </c>
      <c r="Y125" s="168" t="s">
        <v>856</v>
      </c>
      <c r="Z125" s="167">
        <v>4</v>
      </c>
      <c r="AA125" s="168"/>
      <c r="AB125" s="167" t="s">
        <v>834</v>
      </c>
      <c r="AC125" s="168"/>
      <c r="AD125" s="430" t="s">
        <v>834</v>
      </c>
      <c r="AE125" s="168"/>
      <c r="AF125" s="173" t="s">
        <v>834</v>
      </c>
      <c r="AG125" s="171"/>
      <c r="AH125" s="373" t="s">
        <v>834</v>
      </c>
      <c r="AI125" s="168"/>
      <c r="AJ125" s="373" t="s">
        <v>834</v>
      </c>
      <c r="AK125" s="431"/>
      <c r="AL125" s="167" t="s">
        <v>834</v>
      </c>
      <c r="AM125" s="168"/>
      <c r="AN125" s="173" t="s">
        <v>834</v>
      </c>
      <c r="AO125" s="171"/>
      <c r="AP125" s="432" t="s">
        <v>834</v>
      </c>
      <c r="AQ125" s="168"/>
      <c r="AR125" s="173" t="s">
        <v>834</v>
      </c>
      <c r="AS125" s="171"/>
      <c r="AT125" s="173" t="s">
        <v>834</v>
      </c>
      <c r="AU125" s="171"/>
      <c r="AV125" s="381" t="s">
        <v>834</v>
      </c>
      <c r="AW125" s="167"/>
      <c r="AX125" s="433" t="s">
        <v>834</v>
      </c>
      <c r="AY125" s="427"/>
      <c r="AZ125" s="167" t="s">
        <v>834</v>
      </c>
      <c r="BA125" s="427"/>
      <c r="BB125" s="164" t="s">
        <v>834</v>
      </c>
      <c r="BC125" s="167"/>
      <c r="BD125" s="464"/>
      <c r="BE125" s="427"/>
      <c r="BF125" s="384" t="s">
        <v>834</v>
      </c>
      <c r="BG125" s="168"/>
      <c r="BH125" s="432" t="s">
        <v>834</v>
      </c>
      <c r="BI125" s="167"/>
      <c r="BJ125" s="167"/>
      <c r="BK125" s="167"/>
      <c r="BL125" s="167" t="s">
        <v>834</v>
      </c>
      <c r="BM125" s="167"/>
      <c r="BN125" s="173">
        <v>5.125</v>
      </c>
      <c r="BO125" s="171"/>
      <c r="BP125" s="435" t="s">
        <v>834</v>
      </c>
      <c r="BQ125" s="436"/>
      <c r="BR125" s="167" t="s">
        <v>834</v>
      </c>
      <c r="BS125" s="167"/>
      <c r="BT125" s="167" t="s">
        <v>834</v>
      </c>
      <c r="BU125" s="167"/>
      <c r="BV125" s="167" t="s">
        <v>834</v>
      </c>
      <c r="BW125" s="167"/>
      <c r="BX125" s="437" t="s">
        <v>834</v>
      </c>
      <c r="BY125" s="171"/>
      <c r="BZ125" s="432"/>
      <c r="CA125" s="168"/>
      <c r="CB125" s="167">
        <v>6</v>
      </c>
      <c r="CC125" s="175" t="s">
        <v>1764</v>
      </c>
      <c r="CD125" s="173" t="s">
        <v>834</v>
      </c>
      <c r="CE125" s="171"/>
      <c r="CF125" s="167" t="s">
        <v>834</v>
      </c>
      <c r="CG125" s="167"/>
      <c r="CH125" s="167">
        <v>4.5</v>
      </c>
      <c r="CI125" s="168"/>
      <c r="CJ125" s="167" t="s">
        <v>834</v>
      </c>
      <c r="CK125" s="168"/>
      <c r="CL125" s="385" t="s">
        <v>834</v>
      </c>
      <c r="CM125" s="168"/>
      <c r="CN125" s="385" t="s">
        <v>834</v>
      </c>
      <c r="CO125" s="167"/>
      <c r="CP125" s="167" t="s">
        <v>834</v>
      </c>
      <c r="CQ125" s="167"/>
      <c r="CR125" s="373" t="s">
        <v>834</v>
      </c>
      <c r="CS125" s="373"/>
      <c r="CT125" s="455">
        <v>1.5</v>
      </c>
      <c r="CU125" s="168" t="s">
        <v>840</v>
      </c>
      <c r="CV125" s="442" t="s">
        <v>834</v>
      </c>
      <c r="CW125" s="168" t="s">
        <v>1765</v>
      </c>
      <c r="CX125" s="168" t="s">
        <v>834</v>
      </c>
      <c r="CY125" s="168"/>
      <c r="CZ125" s="173" t="s">
        <v>834</v>
      </c>
      <c r="DA125" s="171"/>
      <c r="DB125" s="371" t="s">
        <v>546</v>
      </c>
      <c r="DC125" s="371">
        <f t="shared" si="13"/>
        <v>7</v>
      </c>
      <c r="DD125" s="371"/>
      <c r="DE125" s="371"/>
      <c r="DF125" s="371"/>
      <c r="DG125" s="371"/>
      <c r="DH125" s="371"/>
      <c r="DI125" s="371"/>
      <c r="DJ125" s="371"/>
      <c r="DK125" s="371"/>
      <c r="DL125" s="371"/>
      <c r="DM125" s="371"/>
      <c r="DN125" s="371"/>
      <c r="DO125" s="371"/>
      <c r="DP125" s="371"/>
      <c r="DQ125" s="371"/>
      <c r="DR125" s="371"/>
    </row>
    <row r="126" spans="1:122" ht="18.75" x14ac:dyDescent="0.3">
      <c r="A126" s="325">
        <v>541910</v>
      </c>
      <c r="B126" s="326">
        <v>89</v>
      </c>
      <c r="C126" s="327" t="s">
        <v>1766</v>
      </c>
      <c r="D126" s="424" t="s">
        <v>834</v>
      </c>
      <c r="E126" s="328"/>
      <c r="F126" s="173"/>
      <c r="G126" s="173"/>
      <c r="H126" s="373" t="s">
        <v>834</v>
      </c>
      <c r="I126" s="427"/>
      <c r="J126" s="173" t="s">
        <v>834</v>
      </c>
      <c r="K126" s="371" t="s">
        <v>1767</v>
      </c>
      <c r="L126" s="426" t="s">
        <v>834</v>
      </c>
      <c r="M126" s="427"/>
      <c r="N126" s="173" t="s">
        <v>834</v>
      </c>
      <c r="O126" s="171"/>
      <c r="P126" s="445" t="s">
        <v>834</v>
      </c>
      <c r="Q126" s="427" t="s">
        <v>1768</v>
      </c>
      <c r="R126" s="457">
        <v>0.39800000000000002</v>
      </c>
      <c r="S126" s="168" t="s">
        <v>837</v>
      </c>
      <c r="T126" s="428" t="s">
        <v>834</v>
      </c>
      <c r="U126" s="376"/>
      <c r="V126" s="429" t="s">
        <v>834</v>
      </c>
      <c r="W126" s="377" t="s">
        <v>992</v>
      </c>
      <c r="X126" s="167" t="s">
        <v>834</v>
      </c>
      <c r="Y126" s="168" t="s">
        <v>856</v>
      </c>
      <c r="Z126" s="167">
        <v>4</v>
      </c>
      <c r="AA126" s="168"/>
      <c r="AB126" s="167" t="s">
        <v>834</v>
      </c>
      <c r="AC126" s="168"/>
      <c r="AD126" s="430" t="s">
        <v>834</v>
      </c>
      <c r="AE126" s="168"/>
      <c r="AF126" s="173" t="s">
        <v>834</v>
      </c>
      <c r="AG126" s="171"/>
      <c r="AH126" s="373" t="s">
        <v>834</v>
      </c>
      <c r="AI126" s="168"/>
      <c r="AJ126" s="373" t="s">
        <v>834</v>
      </c>
      <c r="AK126" s="431"/>
      <c r="AL126" s="167" t="s">
        <v>834</v>
      </c>
      <c r="AM126" s="168"/>
      <c r="AN126" s="173" t="s">
        <v>834</v>
      </c>
      <c r="AO126" s="171"/>
      <c r="AP126" s="432" t="s">
        <v>834</v>
      </c>
      <c r="AQ126" s="168"/>
      <c r="AR126" s="173" t="s">
        <v>834</v>
      </c>
      <c r="AS126" s="171"/>
      <c r="AT126" s="173" t="s">
        <v>834</v>
      </c>
      <c r="AU126" s="171"/>
      <c r="AV126" s="381" t="s">
        <v>834</v>
      </c>
      <c r="AW126" s="167"/>
      <c r="AX126" s="433" t="s">
        <v>834</v>
      </c>
      <c r="AY126" s="427"/>
      <c r="AZ126" s="167" t="s">
        <v>834</v>
      </c>
      <c r="BA126" s="427"/>
      <c r="BB126" s="164" t="s">
        <v>834</v>
      </c>
      <c r="BC126" s="167"/>
      <c r="BD126" s="464"/>
      <c r="BE126" s="427"/>
      <c r="BF126" s="384" t="s">
        <v>834</v>
      </c>
      <c r="BG126" s="168"/>
      <c r="BH126" s="432" t="s">
        <v>834</v>
      </c>
      <c r="BI126" s="167"/>
      <c r="BJ126" s="167"/>
      <c r="BK126" s="167"/>
      <c r="BL126" s="167" t="s">
        <v>834</v>
      </c>
      <c r="BM126" s="167"/>
      <c r="BN126" s="173">
        <v>5.125</v>
      </c>
      <c r="BO126" s="171"/>
      <c r="BP126" s="435" t="s">
        <v>834</v>
      </c>
      <c r="BQ126" s="436"/>
      <c r="BR126" s="167" t="s">
        <v>834</v>
      </c>
      <c r="BS126" s="167"/>
      <c r="BT126" s="167" t="s">
        <v>834</v>
      </c>
      <c r="BU126" s="167"/>
      <c r="BV126" s="167" t="s">
        <v>834</v>
      </c>
      <c r="BW126" s="167"/>
      <c r="BX126" s="437" t="s">
        <v>834</v>
      </c>
      <c r="BY126" s="171"/>
      <c r="BZ126" s="432"/>
      <c r="CA126" s="168"/>
      <c r="CB126" s="167" t="s">
        <v>834</v>
      </c>
      <c r="CC126" s="167"/>
      <c r="CD126" s="173" t="s">
        <v>834</v>
      </c>
      <c r="CE126" s="171"/>
      <c r="CF126" s="167" t="s">
        <v>834</v>
      </c>
      <c r="CG126" s="167"/>
      <c r="CH126" s="167">
        <v>4.5</v>
      </c>
      <c r="CI126" s="168"/>
      <c r="CJ126" s="167" t="s">
        <v>834</v>
      </c>
      <c r="CK126" s="168"/>
      <c r="CL126" s="385" t="s">
        <v>834</v>
      </c>
      <c r="CM126" s="168"/>
      <c r="CN126" s="385" t="s">
        <v>834</v>
      </c>
      <c r="CO126" s="167"/>
      <c r="CP126" s="167" t="s">
        <v>834</v>
      </c>
      <c r="CQ126" s="167"/>
      <c r="CR126" s="373" t="s">
        <v>834</v>
      </c>
      <c r="CS126" s="373"/>
      <c r="CT126" s="455">
        <v>1.5</v>
      </c>
      <c r="CU126" s="168" t="s">
        <v>840</v>
      </c>
      <c r="CV126" s="432">
        <v>6</v>
      </c>
      <c r="CW126" s="168"/>
      <c r="CX126" s="168" t="s">
        <v>834</v>
      </c>
      <c r="CY126" s="168"/>
      <c r="CZ126" s="173" t="s">
        <v>834</v>
      </c>
      <c r="DA126" s="171"/>
      <c r="DB126" s="371" t="s">
        <v>546</v>
      </c>
      <c r="DC126" s="371">
        <f t="shared" si="13"/>
        <v>6</v>
      </c>
      <c r="DD126" s="371"/>
      <c r="DE126" s="371"/>
      <c r="DF126" s="371"/>
      <c r="DG126" s="371"/>
      <c r="DH126" s="371"/>
      <c r="DI126" s="371"/>
      <c r="DJ126" s="371"/>
      <c r="DK126" s="371"/>
      <c r="DL126" s="371"/>
      <c r="DM126" s="371"/>
      <c r="DN126" s="371"/>
      <c r="DO126" s="371"/>
      <c r="DP126" s="371"/>
      <c r="DQ126" s="371"/>
      <c r="DR126" s="371"/>
    </row>
    <row r="127" spans="1:122" ht="18.75" x14ac:dyDescent="0.3">
      <c r="A127" s="325">
        <v>488991</v>
      </c>
      <c r="B127" s="326">
        <v>90</v>
      </c>
      <c r="C127" s="327" t="s">
        <v>1115</v>
      </c>
      <c r="D127" s="424" t="s">
        <v>834</v>
      </c>
      <c r="E127" s="328"/>
      <c r="F127" s="173"/>
      <c r="G127" s="173"/>
      <c r="H127" s="373" t="s">
        <v>834</v>
      </c>
      <c r="I127" s="427"/>
      <c r="J127" s="173" t="s">
        <v>834</v>
      </c>
      <c r="K127" s="371" t="s">
        <v>1736</v>
      </c>
      <c r="L127" s="426" t="s">
        <v>834</v>
      </c>
      <c r="M127" s="427" t="s">
        <v>1769</v>
      </c>
      <c r="N127" s="173" t="s">
        <v>834</v>
      </c>
      <c r="O127" s="171"/>
      <c r="P127" s="445">
        <v>6.35</v>
      </c>
      <c r="Q127" s="427"/>
      <c r="R127" s="457">
        <v>0.39800000000000002</v>
      </c>
      <c r="S127" s="168" t="s">
        <v>837</v>
      </c>
      <c r="T127" s="428">
        <v>5.75</v>
      </c>
      <c r="U127" s="376" t="s">
        <v>1770</v>
      </c>
      <c r="V127" s="429" t="s">
        <v>834</v>
      </c>
      <c r="W127" s="377" t="s">
        <v>992</v>
      </c>
      <c r="X127" s="167" t="s">
        <v>834</v>
      </c>
      <c r="Y127" s="168"/>
      <c r="Z127" s="167">
        <v>4</v>
      </c>
      <c r="AA127" s="168"/>
      <c r="AB127" s="167" t="s">
        <v>834</v>
      </c>
      <c r="AC127" s="168"/>
      <c r="AD127" s="430" t="s">
        <v>834</v>
      </c>
      <c r="AE127" s="168"/>
      <c r="AF127" s="173" t="s">
        <v>834</v>
      </c>
      <c r="AG127" s="171"/>
      <c r="AH127" s="373">
        <v>6</v>
      </c>
      <c r="AI127" s="453" t="s">
        <v>1771</v>
      </c>
      <c r="AJ127" s="373">
        <v>6.5</v>
      </c>
      <c r="AK127" s="431" t="s">
        <v>863</v>
      </c>
      <c r="AL127" s="167" t="s">
        <v>834</v>
      </c>
      <c r="AM127" s="168" t="s">
        <v>1772</v>
      </c>
      <c r="AN127" s="173" t="s">
        <v>834</v>
      </c>
      <c r="AO127" s="171" t="s">
        <v>1740</v>
      </c>
      <c r="AP127" s="432" t="s">
        <v>834</v>
      </c>
      <c r="AQ127" s="168"/>
      <c r="AR127" s="173" t="s">
        <v>834</v>
      </c>
      <c r="AS127" s="171"/>
      <c r="AT127" s="173" t="s">
        <v>834</v>
      </c>
      <c r="AU127" s="171" t="s">
        <v>1773</v>
      </c>
      <c r="AV127" s="381" t="s">
        <v>834</v>
      </c>
      <c r="AW127" s="168"/>
      <c r="AX127" s="433" t="s">
        <v>834</v>
      </c>
      <c r="AY127" s="427" t="s">
        <v>1774</v>
      </c>
      <c r="AZ127" s="167" t="s">
        <v>834</v>
      </c>
      <c r="BA127" s="427"/>
      <c r="BB127" s="164" t="s">
        <v>834</v>
      </c>
      <c r="BC127" s="168"/>
      <c r="BD127" s="464"/>
      <c r="BE127" s="427"/>
      <c r="BF127" s="384">
        <v>5.5</v>
      </c>
      <c r="BG127" s="168" t="s">
        <v>1775</v>
      </c>
      <c r="BH127" s="432" t="s">
        <v>834</v>
      </c>
      <c r="BI127" s="168"/>
      <c r="BJ127" s="167"/>
      <c r="BK127" s="167"/>
      <c r="BL127" s="167">
        <v>6.875</v>
      </c>
      <c r="BM127" s="168" t="s">
        <v>1776</v>
      </c>
      <c r="BN127" s="173">
        <v>5.125</v>
      </c>
      <c r="BO127" s="171"/>
      <c r="BP127" s="435" t="s">
        <v>834</v>
      </c>
      <c r="BQ127" s="436" t="s">
        <v>546</v>
      </c>
      <c r="BR127" s="167" t="s">
        <v>834</v>
      </c>
      <c r="BS127" s="168"/>
      <c r="BT127" s="167" t="s">
        <v>834</v>
      </c>
      <c r="BU127" s="168" t="s">
        <v>883</v>
      </c>
      <c r="BV127" s="167" t="s">
        <v>834</v>
      </c>
      <c r="BW127" s="168" t="s">
        <v>1777</v>
      </c>
      <c r="BX127" s="437" t="s">
        <v>834</v>
      </c>
      <c r="BY127" s="171" t="s">
        <v>1778</v>
      </c>
      <c r="BZ127" s="432" t="s">
        <v>546</v>
      </c>
      <c r="CA127" s="168"/>
      <c r="CB127" s="167" t="s">
        <v>834</v>
      </c>
      <c r="CC127" s="168" t="s">
        <v>1779</v>
      </c>
      <c r="CD127" s="173" t="s">
        <v>834</v>
      </c>
      <c r="CE127" s="171"/>
      <c r="CF127" s="167" t="s">
        <v>834</v>
      </c>
      <c r="CG127" s="168"/>
      <c r="CH127" s="167">
        <v>4.5</v>
      </c>
      <c r="CI127" s="168"/>
      <c r="CJ127" s="167" t="s">
        <v>834</v>
      </c>
      <c r="CK127" s="444" t="s">
        <v>1780</v>
      </c>
      <c r="CL127" s="385" t="s">
        <v>834</v>
      </c>
      <c r="CM127" s="168"/>
      <c r="CN127" s="385" t="s">
        <v>834</v>
      </c>
      <c r="CO127" s="168"/>
      <c r="CP127" s="167" t="s">
        <v>834</v>
      </c>
      <c r="CQ127" s="168"/>
      <c r="CR127" s="373" t="s">
        <v>834</v>
      </c>
      <c r="CS127" s="427"/>
      <c r="CT127" s="432">
        <v>1.5</v>
      </c>
      <c r="CU127" s="168" t="s">
        <v>840</v>
      </c>
      <c r="CV127" s="432">
        <v>6</v>
      </c>
      <c r="CW127" s="168"/>
      <c r="CX127" s="168" t="s">
        <v>834</v>
      </c>
      <c r="CY127" s="168" t="s">
        <v>1781</v>
      </c>
      <c r="CZ127" s="173" t="s">
        <v>834</v>
      </c>
      <c r="DA127" s="171"/>
      <c r="DB127" s="371" t="s">
        <v>546</v>
      </c>
      <c r="DC127" s="371">
        <f t="shared" si="13"/>
        <v>12</v>
      </c>
      <c r="DD127" s="371"/>
      <c r="DE127" s="371"/>
      <c r="DF127" s="371"/>
      <c r="DG127" s="371"/>
      <c r="DH127" s="371"/>
      <c r="DI127" s="371"/>
      <c r="DJ127" s="371"/>
      <c r="DK127" s="371"/>
      <c r="DL127" s="371"/>
      <c r="DM127" s="371"/>
      <c r="DN127" s="371"/>
      <c r="DO127" s="371"/>
      <c r="DP127" s="371"/>
      <c r="DQ127" s="371"/>
      <c r="DR127" s="371"/>
    </row>
    <row r="128" spans="1:122" ht="18.75" x14ac:dyDescent="0.3">
      <c r="A128" s="325">
        <v>56171</v>
      </c>
      <c r="B128" s="326">
        <v>91</v>
      </c>
      <c r="C128" s="327" t="s">
        <v>1782</v>
      </c>
      <c r="D128" s="424" t="s">
        <v>834</v>
      </c>
      <c r="E128" s="328"/>
      <c r="F128" s="173"/>
      <c r="G128" s="173"/>
      <c r="H128" s="373">
        <v>6.5</v>
      </c>
      <c r="I128" s="427"/>
      <c r="J128" s="173" t="s">
        <v>834</v>
      </c>
      <c r="K128" s="371" t="s">
        <v>1736</v>
      </c>
      <c r="L128" s="426" t="s">
        <v>834</v>
      </c>
      <c r="M128" s="427"/>
      <c r="N128" s="173" t="s">
        <v>834</v>
      </c>
      <c r="O128" s="171"/>
      <c r="P128" s="445">
        <v>6.35</v>
      </c>
      <c r="Q128" s="427"/>
      <c r="R128" s="457">
        <v>0.39800000000000002</v>
      </c>
      <c r="S128" s="168" t="s">
        <v>837</v>
      </c>
      <c r="T128" s="428">
        <v>5.75</v>
      </c>
      <c r="U128" s="376"/>
      <c r="V128" s="429">
        <v>6</v>
      </c>
      <c r="W128" s="377" t="s">
        <v>992</v>
      </c>
      <c r="X128" s="167" t="s">
        <v>834</v>
      </c>
      <c r="Y128" s="168" t="s">
        <v>856</v>
      </c>
      <c r="Z128" s="167">
        <v>4</v>
      </c>
      <c r="AA128" s="168" t="s">
        <v>1783</v>
      </c>
      <c r="AB128" s="167" t="s">
        <v>834</v>
      </c>
      <c r="AC128" s="168"/>
      <c r="AD128" s="430" t="s">
        <v>834</v>
      </c>
      <c r="AE128" s="168"/>
      <c r="AF128" s="173" t="s">
        <v>834</v>
      </c>
      <c r="AG128" s="171"/>
      <c r="AH128" s="167">
        <v>6</v>
      </c>
      <c r="AI128" s="168"/>
      <c r="AJ128" s="373">
        <v>6.5</v>
      </c>
      <c r="AK128" s="431" t="s">
        <v>863</v>
      </c>
      <c r="AL128" s="167" t="s">
        <v>834</v>
      </c>
      <c r="AM128" s="168"/>
      <c r="AN128" s="173" t="s">
        <v>834</v>
      </c>
      <c r="AO128" s="171"/>
      <c r="AP128" s="432" t="s">
        <v>834</v>
      </c>
      <c r="AQ128" s="168"/>
      <c r="AR128" s="173" t="s">
        <v>834</v>
      </c>
      <c r="AS128" s="171"/>
      <c r="AT128" s="173" t="s">
        <v>834</v>
      </c>
      <c r="AU128" s="171"/>
      <c r="AV128" s="381" t="s">
        <v>834</v>
      </c>
      <c r="AW128" s="167"/>
      <c r="AX128" s="433">
        <v>6.875</v>
      </c>
      <c r="AY128" s="427"/>
      <c r="AZ128" s="167">
        <v>7</v>
      </c>
      <c r="BA128" s="427"/>
      <c r="BB128" s="164" t="s">
        <v>834</v>
      </c>
      <c r="BC128" s="167"/>
      <c r="BD128" s="464"/>
      <c r="BE128" s="427"/>
      <c r="BF128" s="384">
        <v>5.5</v>
      </c>
      <c r="BG128" s="168" t="s">
        <v>1784</v>
      </c>
      <c r="BH128" s="432" t="s">
        <v>834</v>
      </c>
      <c r="BI128" s="167"/>
      <c r="BJ128" s="167"/>
      <c r="BK128" s="167"/>
      <c r="BL128" s="167">
        <v>6.875</v>
      </c>
      <c r="BM128" s="167"/>
      <c r="BN128" s="173">
        <v>5.125</v>
      </c>
      <c r="BO128" s="171"/>
      <c r="BP128" s="435">
        <v>4</v>
      </c>
      <c r="BQ128" s="436"/>
      <c r="BR128" s="167" t="s">
        <v>834</v>
      </c>
      <c r="BS128" s="167"/>
      <c r="BT128" s="167" t="s">
        <v>834</v>
      </c>
      <c r="BU128" s="167"/>
      <c r="BV128" s="429">
        <v>5.75</v>
      </c>
      <c r="BW128" s="167"/>
      <c r="BX128" s="437" t="s">
        <v>834</v>
      </c>
      <c r="BY128" s="171"/>
      <c r="BZ128" s="432"/>
      <c r="CA128" s="168"/>
      <c r="CB128" s="167">
        <v>6</v>
      </c>
      <c r="CC128" s="168"/>
      <c r="CD128" s="173" t="s">
        <v>834</v>
      </c>
      <c r="CE128" s="171"/>
      <c r="CF128" s="167" t="s">
        <v>834</v>
      </c>
      <c r="CG128" s="167"/>
      <c r="CH128" s="167">
        <v>4.5</v>
      </c>
      <c r="CI128" s="168"/>
      <c r="CJ128" s="167" t="s">
        <v>834</v>
      </c>
      <c r="CK128" s="168"/>
      <c r="CL128" s="385">
        <v>6.25</v>
      </c>
      <c r="CM128" s="168"/>
      <c r="CN128" s="385" t="s">
        <v>834</v>
      </c>
      <c r="CO128" s="167"/>
      <c r="CP128" s="167" t="s">
        <v>834</v>
      </c>
      <c r="CQ128" s="167"/>
      <c r="CR128" s="373" t="s">
        <v>834</v>
      </c>
      <c r="CS128" s="373"/>
      <c r="CT128" s="432">
        <v>6.5</v>
      </c>
      <c r="CU128" s="168" t="s">
        <v>938</v>
      </c>
      <c r="CV128" s="432">
        <v>6</v>
      </c>
      <c r="CW128" s="168"/>
      <c r="CX128" s="168" t="s">
        <v>834</v>
      </c>
      <c r="CY128" s="168" t="s">
        <v>1785</v>
      </c>
      <c r="CZ128" s="173" t="s">
        <v>834</v>
      </c>
      <c r="DA128" s="171" t="s">
        <v>1786</v>
      </c>
      <c r="DB128" s="371" t="s">
        <v>546</v>
      </c>
      <c r="DC128" s="371">
        <f t="shared" si="13"/>
        <v>20</v>
      </c>
      <c r="DD128" s="371"/>
      <c r="DE128" s="371"/>
      <c r="DF128" s="371"/>
      <c r="DG128" s="371"/>
      <c r="DH128" s="371"/>
      <c r="DI128" s="371"/>
      <c r="DJ128" s="371"/>
      <c r="DK128" s="371"/>
      <c r="DL128" s="371"/>
      <c r="DM128" s="371"/>
      <c r="DN128" s="371"/>
      <c r="DO128" s="371"/>
      <c r="DP128" s="371"/>
      <c r="DQ128" s="371"/>
      <c r="DR128" s="371"/>
    </row>
    <row r="129" spans="1:122" ht="18.75" x14ac:dyDescent="0.3">
      <c r="A129" s="325">
        <v>561439</v>
      </c>
      <c r="B129" s="326">
        <v>92</v>
      </c>
      <c r="C129" s="327" t="s">
        <v>1787</v>
      </c>
      <c r="D129" s="424">
        <v>4</v>
      </c>
      <c r="E129" s="328"/>
      <c r="F129" s="173" t="s">
        <v>546</v>
      </c>
      <c r="G129" s="173"/>
      <c r="H129" s="373">
        <v>6.5</v>
      </c>
      <c r="I129" s="427" t="s">
        <v>1788</v>
      </c>
      <c r="J129" s="173">
        <v>5.6</v>
      </c>
      <c r="K129" s="371" t="s">
        <v>921</v>
      </c>
      <c r="L129" s="426">
        <v>7.25</v>
      </c>
      <c r="M129" s="427" t="s">
        <v>1789</v>
      </c>
      <c r="N129" s="173" t="s">
        <v>834</v>
      </c>
      <c r="O129" s="171" t="s">
        <v>1790</v>
      </c>
      <c r="P129" s="445">
        <v>6.35</v>
      </c>
      <c r="Q129" s="427"/>
      <c r="R129" s="457">
        <v>0.39800000000000002</v>
      </c>
      <c r="S129" s="168" t="s">
        <v>837</v>
      </c>
      <c r="T129" s="428">
        <v>5.75</v>
      </c>
      <c r="U129" s="376" t="s">
        <v>1791</v>
      </c>
      <c r="V129" s="429">
        <v>6</v>
      </c>
      <c r="W129" s="377" t="s">
        <v>992</v>
      </c>
      <c r="X129" s="167">
        <v>4</v>
      </c>
      <c r="Y129" s="168"/>
      <c r="Z129" s="167">
        <v>4</v>
      </c>
      <c r="AA129" s="168"/>
      <c r="AB129" s="167">
        <v>6</v>
      </c>
      <c r="AC129" s="168"/>
      <c r="AD129" s="430" t="s">
        <v>834</v>
      </c>
      <c r="AE129" s="168"/>
      <c r="AF129" s="173" t="s">
        <v>834</v>
      </c>
      <c r="AG129" s="171" t="s">
        <v>1792</v>
      </c>
      <c r="AH129" s="167">
        <v>6</v>
      </c>
      <c r="AI129" s="168"/>
      <c r="AJ129" s="373">
        <v>6.5</v>
      </c>
      <c r="AK129" s="431" t="s">
        <v>863</v>
      </c>
      <c r="AL129" s="167">
        <v>6</v>
      </c>
      <c r="AM129" s="168"/>
      <c r="AN129" s="173">
        <v>5</v>
      </c>
      <c r="AO129" s="171"/>
      <c r="AP129" s="475">
        <v>6</v>
      </c>
      <c r="AQ129" s="168" t="s">
        <v>1793</v>
      </c>
      <c r="AR129" s="173">
        <v>6</v>
      </c>
      <c r="AS129" s="171"/>
      <c r="AT129" s="173">
        <v>6.25</v>
      </c>
      <c r="AU129" s="171"/>
      <c r="AV129" s="381">
        <v>6</v>
      </c>
      <c r="AW129" s="168" t="s">
        <v>1794</v>
      </c>
      <c r="AX129" s="433">
        <v>6.875</v>
      </c>
      <c r="AY129" s="427"/>
      <c r="AZ129" s="167">
        <v>7</v>
      </c>
      <c r="BA129" s="427" t="s">
        <v>1795</v>
      </c>
      <c r="BB129" s="164" t="s">
        <v>834</v>
      </c>
      <c r="BC129" s="167"/>
      <c r="BD129" s="464"/>
      <c r="BE129" s="427"/>
      <c r="BF129" s="384">
        <v>5.5</v>
      </c>
      <c r="BG129" s="168" t="s">
        <v>1796</v>
      </c>
      <c r="BH129" s="432">
        <v>6.85</v>
      </c>
      <c r="BI129" s="168" t="s">
        <v>1797</v>
      </c>
      <c r="BJ129" s="167" t="s">
        <v>546</v>
      </c>
      <c r="BK129" s="167"/>
      <c r="BL129" s="167">
        <v>6.875</v>
      </c>
      <c r="BM129" s="167"/>
      <c r="BN129" s="173">
        <v>5.125</v>
      </c>
      <c r="BO129" s="171"/>
      <c r="BP129" s="435">
        <v>4</v>
      </c>
      <c r="BQ129" s="436" t="s">
        <v>546</v>
      </c>
      <c r="BR129" s="385">
        <v>4.75</v>
      </c>
      <c r="BS129" s="168" t="s">
        <v>1798</v>
      </c>
      <c r="BT129" s="167">
        <v>5</v>
      </c>
      <c r="BU129" s="168" t="s">
        <v>1799</v>
      </c>
      <c r="BV129" s="429">
        <v>5.75</v>
      </c>
      <c r="BW129" s="167"/>
      <c r="BX129" s="437">
        <v>4.5</v>
      </c>
      <c r="BY129" s="171"/>
      <c r="BZ129" s="432"/>
      <c r="CA129" s="168"/>
      <c r="CB129" s="167">
        <v>6</v>
      </c>
      <c r="CC129" s="167"/>
      <c r="CD129" s="173">
        <v>7</v>
      </c>
      <c r="CE129" s="171"/>
      <c r="CF129" s="167">
        <v>6</v>
      </c>
      <c r="CG129" s="167"/>
      <c r="CH129" s="167">
        <v>4.5</v>
      </c>
      <c r="CI129" s="168"/>
      <c r="CJ129" s="167">
        <v>7</v>
      </c>
      <c r="CK129" s="168"/>
      <c r="CL129" s="385">
        <v>6.25</v>
      </c>
      <c r="CM129" s="168"/>
      <c r="CN129" s="385">
        <v>4.7</v>
      </c>
      <c r="CO129" s="167"/>
      <c r="CP129" s="167">
        <v>6</v>
      </c>
      <c r="CQ129" s="167"/>
      <c r="CR129" s="373">
        <v>5.3</v>
      </c>
      <c r="CS129" s="373"/>
      <c r="CT129" s="432">
        <v>6.5</v>
      </c>
      <c r="CU129" s="168" t="s">
        <v>938</v>
      </c>
      <c r="CV129" s="432">
        <v>6</v>
      </c>
      <c r="CW129" s="168"/>
      <c r="CX129" s="168">
        <v>5</v>
      </c>
      <c r="CY129" s="168" t="s">
        <v>1800</v>
      </c>
      <c r="CZ129" s="173">
        <v>4</v>
      </c>
      <c r="DA129" s="171" t="s">
        <v>1801</v>
      </c>
      <c r="DB129" s="371" t="s">
        <v>546</v>
      </c>
      <c r="DC129" s="371">
        <f t="shared" si="13"/>
        <v>43</v>
      </c>
      <c r="DD129" s="371"/>
      <c r="DE129" s="371"/>
      <c r="DF129" s="371"/>
      <c r="DG129" s="371"/>
      <c r="DH129" s="371"/>
      <c r="DI129" s="371"/>
      <c r="DJ129" s="371"/>
      <c r="DK129" s="371"/>
      <c r="DL129" s="371"/>
      <c r="DM129" s="371"/>
      <c r="DN129" s="371"/>
      <c r="DO129" s="371"/>
      <c r="DP129" s="371"/>
      <c r="DQ129" s="371"/>
      <c r="DR129" s="371"/>
    </row>
    <row r="130" spans="1:122" ht="18.75" x14ac:dyDescent="0.3">
      <c r="A130" s="325">
        <v>81292</v>
      </c>
      <c r="B130" s="326">
        <v>93</v>
      </c>
      <c r="C130" s="327" t="s">
        <v>1802</v>
      </c>
      <c r="D130" s="424">
        <v>4</v>
      </c>
      <c r="E130" s="328"/>
      <c r="F130" s="173" t="s">
        <v>546</v>
      </c>
      <c r="G130" s="173"/>
      <c r="H130" s="373">
        <v>6.5</v>
      </c>
      <c r="I130" s="427"/>
      <c r="J130" s="173">
        <v>5.6</v>
      </c>
      <c r="K130" s="371" t="s">
        <v>921</v>
      </c>
      <c r="L130" s="426">
        <v>7.25</v>
      </c>
      <c r="M130" s="427" t="s">
        <v>1803</v>
      </c>
      <c r="N130" s="173">
        <v>2.9</v>
      </c>
      <c r="O130" s="171" t="s">
        <v>1804</v>
      </c>
      <c r="P130" s="445">
        <v>6.35</v>
      </c>
      <c r="Q130" s="427"/>
      <c r="R130" s="457">
        <v>0.39800000000000002</v>
      </c>
      <c r="S130" s="168" t="s">
        <v>837</v>
      </c>
      <c r="T130" s="428">
        <v>5.75</v>
      </c>
      <c r="U130" s="376"/>
      <c r="V130" s="429">
        <v>6</v>
      </c>
      <c r="W130" s="377" t="s">
        <v>992</v>
      </c>
      <c r="X130" s="167">
        <v>4</v>
      </c>
      <c r="Y130" s="168"/>
      <c r="Z130" s="167">
        <v>4</v>
      </c>
      <c r="AA130" s="168"/>
      <c r="AB130" s="167">
        <v>6</v>
      </c>
      <c r="AC130" s="168"/>
      <c r="AD130" s="430">
        <v>6.25</v>
      </c>
      <c r="AE130" s="168"/>
      <c r="AF130" s="173" t="s">
        <v>834</v>
      </c>
      <c r="AG130" s="171"/>
      <c r="AH130" s="167">
        <v>6</v>
      </c>
      <c r="AI130" s="168"/>
      <c r="AJ130" s="373">
        <v>6.5</v>
      </c>
      <c r="AK130" s="431" t="s">
        <v>863</v>
      </c>
      <c r="AL130" s="167">
        <v>6</v>
      </c>
      <c r="AM130" s="168" t="s">
        <v>1805</v>
      </c>
      <c r="AN130" s="173">
        <v>5</v>
      </c>
      <c r="AO130" s="171"/>
      <c r="AP130" s="475">
        <v>6</v>
      </c>
      <c r="AQ130" s="168" t="s">
        <v>1793</v>
      </c>
      <c r="AR130" s="173">
        <v>6</v>
      </c>
      <c r="AS130" s="171"/>
      <c r="AT130" s="173">
        <v>6.25</v>
      </c>
      <c r="AU130" s="171"/>
      <c r="AV130" s="381">
        <v>6</v>
      </c>
      <c r="AW130" s="168" t="s">
        <v>1806</v>
      </c>
      <c r="AX130" s="433">
        <v>6.875</v>
      </c>
      <c r="AY130" s="427"/>
      <c r="AZ130" s="167">
        <v>7</v>
      </c>
      <c r="BA130" s="427"/>
      <c r="BB130" s="165">
        <v>4.2249999999999996</v>
      </c>
      <c r="BC130" s="168" t="s">
        <v>1807</v>
      </c>
      <c r="BD130" s="464" t="s">
        <v>546</v>
      </c>
      <c r="BE130" s="427"/>
      <c r="BF130" s="384">
        <v>5.5</v>
      </c>
      <c r="BG130" s="168" t="s">
        <v>1796</v>
      </c>
      <c r="BH130" s="432">
        <v>6.85</v>
      </c>
      <c r="BI130" s="168" t="s">
        <v>1797</v>
      </c>
      <c r="BJ130" s="167" t="s">
        <v>546</v>
      </c>
      <c r="BK130" s="167"/>
      <c r="BL130" s="167">
        <v>6.875</v>
      </c>
      <c r="BM130" s="167"/>
      <c r="BN130" s="173">
        <v>5.125</v>
      </c>
      <c r="BO130" s="171"/>
      <c r="BP130" s="435">
        <v>4</v>
      </c>
      <c r="BQ130" s="436"/>
      <c r="BR130" s="385">
        <v>4.75</v>
      </c>
      <c r="BS130" s="168" t="s">
        <v>1798</v>
      </c>
      <c r="BT130" s="167">
        <v>5</v>
      </c>
      <c r="BU130" s="168" t="s">
        <v>1799</v>
      </c>
      <c r="BV130" s="429">
        <v>5.75</v>
      </c>
      <c r="BW130" s="167"/>
      <c r="BX130" s="437">
        <v>4.5</v>
      </c>
      <c r="BY130" s="171"/>
      <c r="BZ130" s="432"/>
      <c r="CA130" s="168"/>
      <c r="CB130" s="167">
        <v>6</v>
      </c>
      <c r="CC130" s="167"/>
      <c r="CD130" s="173">
        <v>7</v>
      </c>
      <c r="CE130" s="171" t="s">
        <v>1808</v>
      </c>
      <c r="CF130" s="373" t="s">
        <v>834</v>
      </c>
      <c r="CG130" s="175" t="s">
        <v>1809</v>
      </c>
      <c r="CH130" s="167">
        <v>4.5</v>
      </c>
      <c r="CI130" s="168"/>
      <c r="CJ130" s="167">
        <v>7</v>
      </c>
      <c r="CK130" s="168"/>
      <c r="CL130" s="385">
        <v>6.25</v>
      </c>
      <c r="CM130" s="168"/>
      <c r="CN130" s="385">
        <v>4.7</v>
      </c>
      <c r="CO130" s="167"/>
      <c r="CP130" s="167">
        <v>6</v>
      </c>
      <c r="CQ130" s="167"/>
      <c r="CR130" s="373" t="s">
        <v>834</v>
      </c>
      <c r="CS130" s="427" t="s">
        <v>1810</v>
      </c>
      <c r="CT130" s="432">
        <v>6.5</v>
      </c>
      <c r="CU130" s="168" t="s">
        <v>938</v>
      </c>
      <c r="CV130" s="432">
        <v>6</v>
      </c>
      <c r="CW130" s="168"/>
      <c r="CX130" s="168">
        <v>5</v>
      </c>
      <c r="CY130" s="168"/>
      <c r="CZ130" s="173">
        <v>4</v>
      </c>
      <c r="DA130" s="171" t="s">
        <v>1811</v>
      </c>
      <c r="DB130" s="371" t="s">
        <v>546</v>
      </c>
      <c r="DC130" s="371">
        <f t="shared" si="13"/>
        <v>44</v>
      </c>
      <c r="DD130" s="371"/>
      <c r="DE130" s="371"/>
      <c r="DF130" s="371"/>
      <c r="DG130" s="371"/>
      <c r="DH130" s="371"/>
      <c r="DI130" s="371"/>
      <c r="DJ130" s="371"/>
      <c r="DK130" s="371"/>
      <c r="DL130" s="371"/>
      <c r="DM130" s="371"/>
      <c r="DN130" s="371"/>
      <c r="DO130" s="371"/>
      <c r="DP130" s="371"/>
      <c r="DQ130" s="371"/>
      <c r="DR130" s="371"/>
    </row>
    <row r="131" spans="1:122" ht="18.75" x14ac:dyDescent="0.3">
      <c r="A131" s="325">
        <v>32311</v>
      </c>
      <c r="B131" s="326">
        <v>94</v>
      </c>
      <c r="C131" s="327" t="s">
        <v>1812</v>
      </c>
      <c r="D131" s="424">
        <v>4</v>
      </c>
      <c r="E131" s="328"/>
      <c r="F131" s="173" t="s">
        <v>546</v>
      </c>
      <c r="G131" s="173"/>
      <c r="H131" s="373">
        <v>6.5</v>
      </c>
      <c r="I131" s="427"/>
      <c r="J131" s="173">
        <v>5.6</v>
      </c>
      <c r="K131" s="371" t="s">
        <v>921</v>
      </c>
      <c r="L131" s="426">
        <v>7.25</v>
      </c>
      <c r="M131" s="427" t="s">
        <v>1813</v>
      </c>
      <c r="N131" s="173">
        <v>2.9</v>
      </c>
      <c r="O131" s="171" t="s">
        <v>1814</v>
      </c>
      <c r="P131" s="445">
        <v>6.35</v>
      </c>
      <c r="Q131" s="427"/>
      <c r="R131" s="457">
        <v>0.72</v>
      </c>
      <c r="S131" s="168" t="s">
        <v>1815</v>
      </c>
      <c r="T131" s="428">
        <v>5.75</v>
      </c>
      <c r="U131" s="376"/>
      <c r="V131" s="429">
        <v>6</v>
      </c>
      <c r="W131" s="377" t="s">
        <v>992</v>
      </c>
      <c r="X131" s="167">
        <v>4</v>
      </c>
      <c r="Y131" s="168"/>
      <c r="Z131" s="167">
        <v>0.5</v>
      </c>
      <c r="AA131" s="168" t="s">
        <v>1816</v>
      </c>
      <c r="AB131" s="167">
        <v>6</v>
      </c>
      <c r="AC131" s="168"/>
      <c r="AD131" s="430" t="s">
        <v>834</v>
      </c>
      <c r="AE131" s="168"/>
      <c r="AF131" s="173">
        <v>7</v>
      </c>
      <c r="AG131" s="171" t="s">
        <v>1817</v>
      </c>
      <c r="AH131" s="167">
        <v>6</v>
      </c>
      <c r="AI131" s="168"/>
      <c r="AJ131" s="373">
        <v>6.5</v>
      </c>
      <c r="AK131" s="431" t="s">
        <v>863</v>
      </c>
      <c r="AL131" s="167">
        <v>6</v>
      </c>
      <c r="AM131" s="168"/>
      <c r="AN131" s="173">
        <v>5</v>
      </c>
      <c r="AO131" s="171" t="s">
        <v>1818</v>
      </c>
      <c r="AP131" s="475">
        <v>6</v>
      </c>
      <c r="AQ131" s="168" t="s">
        <v>1819</v>
      </c>
      <c r="AR131" s="173">
        <v>6</v>
      </c>
      <c r="AS131" s="171"/>
      <c r="AT131" s="173">
        <v>6.25</v>
      </c>
      <c r="AU131" s="171" t="s">
        <v>1820</v>
      </c>
      <c r="AV131" s="381">
        <v>6</v>
      </c>
      <c r="AW131" s="168" t="s">
        <v>1794</v>
      </c>
      <c r="AX131" s="433">
        <v>6.875</v>
      </c>
      <c r="AY131" s="427"/>
      <c r="AZ131" s="167">
        <v>7</v>
      </c>
      <c r="BA131" s="427" t="s">
        <v>1795</v>
      </c>
      <c r="BB131" s="164">
        <v>4.2249999999999996</v>
      </c>
      <c r="BC131" s="167"/>
      <c r="BD131" s="464"/>
      <c r="BE131" s="427"/>
      <c r="BF131" s="384">
        <v>5.5</v>
      </c>
      <c r="BG131" s="168" t="s">
        <v>1821</v>
      </c>
      <c r="BH131" s="432">
        <v>6.85</v>
      </c>
      <c r="BI131" s="168" t="s">
        <v>1797</v>
      </c>
      <c r="BJ131" s="167" t="s">
        <v>546</v>
      </c>
      <c r="BK131" s="167"/>
      <c r="BL131" s="167">
        <v>6.875</v>
      </c>
      <c r="BM131" s="167"/>
      <c r="BN131" s="173">
        <v>5.125</v>
      </c>
      <c r="BO131" s="171"/>
      <c r="BP131" s="435">
        <v>4</v>
      </c>
      <c r="BQ131" s="436"/>
      <c r="BR131" s="385">
        <v>4.75</v>
      </c>
      <c r="BS131" s="168" t="s">
        <v>1798</v>
      </c>
      <c r="BT131" s="167">
        <v>5</v>
      </c>
      <c r="BU131" s="168" t="s">
        <v>1799</v>
      </c>
      <c r="BV131" s="429">
        <v>5.75</v>
      </c>
      <c r="BW131" s="167"/>
      <c r="BX131" s="437">
        <v>4.5</v>
      </c>
      <c r="BY131" s="171"/>
      <c r="BZ131" s="432"/>
      <c r="CA131" s="168"/>
      <c r="CB131" s="167">
        <v>6</v>
      </c>
      <c r="CC131" s="167"/>
      <c r="CD131" s="173">
        <v>7</v>
      </c>
      <c r="CE131" s="171"/>
      <c r="CF131" s="373">
        <v>6</v>
      </c>
      <c r="CG131" s="175" t="s">
        <v>1822</v>
      </c>
      <c r="CH131" s="167">
        <v>4.5</v>
      </c>
      <c r="CI131" s="168"/>
      <c r="CJ131" s="167">
        <v>7</v>
      </c>
      <c r="CK131" s="168"/>
      <c r="CL131" s="385">
        <v>6.25</v>
      </c>
      <c r="CM131" s="168"/>
      <c r="CN131" s="385">
        <v>4.7</v>
      </c>
      <c r="CO131" s="167"/>
      <c r="CP131" s="167">
        <v>6</v>
      </c>
      <c r="CQ131" s="168" t="s">
        <v>1823</v>
      </c>
      <c r="CR131" s="373">
        <v>5.3</v>
      </c>
      <c r="CS131" s="373"/>
      <c r="CT131" s="432">
        <v>6.5</v>
      </c>
      <c r="CU131" s="168" t="s">
        <v>938</v>
      </c>
      <c r="CV131" s="432">
        <v>6</v>
      </c>
      <c r="CW131" s="168"/>
      <c r="CX131" s="168">
        <v>5</v>
      </c>
      <c r="CY131" s="168"/>
      <c r="CZ131" s="173">
        <v>4</v>
      </c>
      <c r="DA131" s="171" t="s">
        <v>1824</v>
      </c>
      <c r="DB131" s="371" t="s">
        <v>546</v>
      </c>
      <c r="DC131" s="371">
        <f t="shared" si="13"/>
        <v>46</v>
      </c>
      <c r="DD131" s="371"/>
      <c r="DE131" s="371"/>
      <c r="DF131" s="371"/>
      <c r="DG131" s="371"/>
      <c r="DH131" s="371"/>
      <c r="DI131" s="371"/>
      <c r="DJ131" s="371"/>
      <c r="DK131" s="371"/>
      <c r="DL131" s="371"/>
      <c r="DM131" s="371"/>
      <c r="DN131" s="371"/>
      <c r="DO131" s="371"/>
      <c r="DP131" s="371"/>
      <c r="DQ131" s="371"/>
      <c r="DR131" s="371"/>
    </row>
    <row r="132" spans="1:122" ht="18.75" x14ac:dyDescent="0.3">
      <c r="A132" s="325">
        <v>561611</v>
      </c>
      <c r="B132" s="326">
        <v>95</v>
      </c>
      <c r="C132" s="327" t="s">
        <v>1825</v>
      </c>
      <c r="D132" s="424" t="s">
        <v>834</v>
      </c>
      <c r="E132" s="328"/>
      <c r="F132" s="173"/>
      <c r="G132" s="173"/>
      <c r="H132" s="373" t="s">
        <v>834</v>
      </c>
      <c r="I132" s="427"/>
      <c r="J132" s="173" t="s">
        <v>834</v>
      </c>
      <c r="K132" s="371"/>
      <c r="L132" s="426" t="s">
        <v>834</v>
      </c>
      <c r="M132" s="427"/>
      <c r="N132" s="173" t="s">
        <v>834</v>
      </c>
      <c r="O132" s="171"/>
      <c r="P132" s="445">
        <v>6.35</v>
      </c>
      <c r="Q132" s="427"/>
      <c r="R132" s="457">
        <v>0.39800000000000002</v>
      </c>
      <c r="S132" s="168" t="s">
        <v>837</v>
      </c>
      <c r="T132" s="428">
        <v>5.75</v>
      </c>
      <c r="U132" s="376" t="s">
        <v>1826</v>
      </c>
      <c r="V132" s="429">
        <v>6</v>
      </c>
      <c r="W132" s="377" t="s">
        <v>992</v>
      </c>
      <c r="X132" s="167" t="s">
        <v>834</v>
      </c>
      <c r="Y132" s="168" t="s">
        <v>856</v>
      </c>
      <c r="Z132" s="167">
        <v>4</v>
      </c>
      <c r="AA132" s="168"/>
      <c r="AB132" s="167" t="s">
        <v>834</v>
      </c>
      <c r="AC132" s="168"/>
      <c r="AD132" s="430" t="s">
        <v>834</v>
      </c>
      <c r="AE132" s="168"/>
      <c r="AF132" s="173" t="s">
        <v>834</v>
      </c>
      <c r="AG132" s="171"/>
      <c r="AH132" s="167">
        <v>6</v>
      </c>
      <c r="AI132" s="453" t="s">
        <v>1827</v>
      </c>
      <c r="AJ132" s="373" t="s">
        <v>834</v>
      </c>
      <c r="AK132" s="431"/>
      <c r="AL132" s="167" t="s">
        <v>834</v>
      </c>
      <c r="AM132" s="168"/>
      <c r="AN132" s="173" t="s">
        <v>834</v>
      </c>
      <c r="AO132" s="171"/>
      <c r="AP132" s="432" t="s">
        <v>834</v>
      </c>
      <c r="AQ132" s="168"/>
      <c r="AR132" s="173">
        <v>6</v>
      </c>
      <c r="AS132" s="171"/>
      <c r="AT132" s="173" t="s">
        <v>834</v>
      </c>
      <c r="AU132" s="171"/>
      <c r="AV132" s="381" t="s">
        <v>834</v>
      </c>
      <c r="AW132" s="167"/>
      <c r="AX132" s="433">
        <v>6.875</v>
      </c>
      <c r="AY132" s="427"/>
      <c r="AZ132" s="167" t="s">
        <v>834</v>
      </c>
      <c r="BA132" s="427"/>
      <c r="BB132" s="164" t="s">
        <v>834</v>
      </c>
      <c r="BC132" s="167"/>
      <c r="BD132" s="464"/>
      <c r="BE132" s="427"/>
      <c r="BF132" s="384">
        <v>5.5</v>
      </c>
      <c r="BG132" s="168" t="s">
        <v>1688</v>
      </c>
      <c r="BH132" s="432" t="s">
        <v>834</v>
      </c>
      <c r="BI132" s="167"/>
      <c r="BJ132" s="167"/>
      <c r="BK132" s="167"/>
      <c r="BL132" s="167">
        <v>6.875</v>
      </c>
      <c r="BM132" s="168" t="s">
        <v>1828</v>
      </c>
      <c r="BN132" s="173">
        <v>5.125</v>
      </c>
      <c r="BO132" s="171"/>
      <c r="BP132" s="435">
        <v>4</v>
      </c>
      <c r="BQ132" s="436"/>
      <c r="BR132" s="167" t="s">
        <v>834</v>
      </c>
      <c r="BS132" s="167"/>
      <c r="BT132" s="167" t="s">
        <v>834</v>
      </c>
      <c r="BU132" s="167"/>
      <c r="BV132" s="429">
        <v>5.75</v>
      </c>
      <c r="BW132" s="167"/>
      <c r="BX132" s="437" t="s">
        <v>834</v>
      </c>
      <c r="BY132" s="171"/>
      <c r="BZ132" s="432"/>
      <c r="CA132" s="168"/>
      <c r="CB132" s="167" t="s">
        <v>834</v>
      </c>
      <c r="CC132" s="167"/>
      <c r="CD132" s="173" t="s">
        <v>834</v>
      </c>
      <c r="CE132" s="171"/>
      <c r="CF132" s="167" t="s">
        <v>834</v>
      </c>
      <c r="CG132" s="175"/>
      <c r="CH132" s="167">
        <v>4.5</v>
      </c>
      <c r="CI132" s="168"/>
      <c r="CJ132" s="167" t="s">
        <v>834</v>
      </c>
      <c r="CK132" s="168"/>
      <c r="CL132" s="385">
        <v>6.25</v>
      </c>
      <c r="CM132" s="168"/>
      <c r="CN132" s="385" t="s">
        <v>834</v>
      </c>
      <c r="CO132" s="167"/>
      <c r="CP132" s="167" t="s">
        <v>834</v>
      </c>
      <c r="CQ132" s="167"/>
      <c r="CR132" s="373" t="s">
        <v>834</v>
      </c>
      <c r="CS132" s="373"/>
      <c r="CT132" s="455">
        <v>1.5</v>
      </c>
      <c r="CU132" s="168" t="s">
        <v>840</v>
      </c>
      <c r="CV132" s="432">
        <v>6</v>
      </c>
      <c r="CW132" s="168"/>
      <c r="CX132" s="168" t="s">
        <v>834</v>
      </c>
      <c r="CY132" s="168"/>
      <c r="CZ132" s="173" t="s">
        <v>834</v>
      </c>
      <c r="DA132" s="171"/>
      <c r="DB132" s="371" t="s">
        <v>546</v>
      </c>
      <c r="DC132" s="371">
        <f t="shared" si="13"/>
        <v>17</v>
      </c>
      <c r="DD132" s="371"/>
      <c r="DE132" s="371"/>
      <c r="DF132" s="371"/>
      <c r="DG132" s="371"/>
      <c r="DH132" s="371"/>
      <c r="DI132" s="371"/>
      <c r="DJ132" s="371"/>
      <c r="DK132" s="371"/>
      <c r="DL132" s="371"/>
      <c r="DM132" s="371"/>
      <c r="DN132" s="371"/>
      <c r="DO132" s="371"/>
      <c r="DP132" s="371"/>
      <c r="DQ132" s="371"/>
      <c r="DR132" s="371"/>
    </row>
    <row r="133" spans="1:122" ht="18.75" x14ac:dyDescent="0.3">
      <c r="A133" s="524"/>
      <c r="B133" s="525"/>
      <c r="C133" s="526" t="s">
        <v>1829</v>
      </c>
      <c r="D133" s="527"/>
      <c r="E133" s="528"/>
      <c r="F133" s="529"/>
      <c r="G133" s="529"/>
      <c r="H133" s="542"/>
      <c r="I133" s="530"/>
      <c r="J133" s="529"/>
      <c r="K133" s="531"/>
      <c r="L133" s="532"/>
      <c r="M133" s="530"/>
      <c r="N133" s="529"/>
      <c r="O133" s="533"/>
      <c r="P133" s="534"/>
      <c r="Q133" s="530"/>
      <c r="R133" s="545"/>
      <c r="S133" s="535"/>
      <c r="T133" s="546"/>
      <c r="U133" s="536"/>
      <c r="V133" s="547"/>
      <c r="W133" s="537"/>
      <c r="X133" s="540"/>
      <c r="Y133" s="535"/>
      <c r="Z133" s="540"/>
      <c r="AA133" s="535"/>
      <c r="AB133" s="540"/>
      <c r="AC133" s="535"/>
      <c r="AD133" s="538" t="s">
        <v>546</v>
      </c>
      <c r="AE133" s="535"/>
      <c r="AF133" s="529"/>
      <c r="AG133" s="533"/>
      <c r="AH133" s="540"/>
      <c r="AI133" s="535"/>
      <c r="AJ133" s="542"/>
      <c r="AK133" s="539"/>
      <c r="AL133" s="540"/>
      <c r="AM133" s="535"/>
      <c r="AN133" s="529"/>
      <c r="AO133" s="533"/>
      <c r="AP133" s="548"/>
      <c r="AQ133" s="535"/>
      <c r="AR133" s="529"/>
      <c r="AS133" s="533"/>
      <c r="AT133" s="529"/>
      <c r="AU133" s="533"/>
      <c r="AV133" s="563"/>
      <c r="AW133" s="564"/>
      <c r="AX133" s="550"/>
      <c r="AY133" s="530"/>
      <c r="AZ133" s="540"/>
      <c r="BA133" s="530"/>
      <c r="BB133" s="169"/>
      <c r="BC133" s="540"/>
      <c r="BD133" s="551"/>
      <c r="BE133" s="530"/>
      <c r="BF133" s="552"/>
      <c r="BG133" s="535"/>
      <c r="BH133" s="548"/>
      <c r="BI133" s="540"/>
      <c r="BJ133" s="540"/>
      <c r="BK133" s="540"/>
      <c r="BL133" s="540"/>
      <c r="BM133" s="540"/>
      <c r="BN133" s="529"/>
      <c r="BO133" s="533"/>
      <c r="BP133" s="565"/>
      <c r="BQ133" s="541"/>
      <c r="BR133" s="540"/>
      <c r="BS133" s="540"/>
      <c r="BT133" s="540"/>
      <c r="BU133" s="540"/>
      <c r="BV133" s="540"/>
      <c r="BW133" s="540"/>
      <c r="BX133" s="554"/>
      <c r="BY133" s="533"/>
      <c r="BZ133" s="548"/>
      <c r="CA133" s="535"/>
      <c r="CB133" s="540"/>
      <c r="CC133" s="540"/>
      <c r="CD133" s="529"/>
      <c r="CE133" s="533"/>
      <c r="CF133" s="540"/>
      <c r="CG133" s="555"/>
      <c r="CH133" s="540"/>
      <c r="CI133" s="535"/>
      <c r="CJ133" s="540"/>
      <c r="CK133" s="535"/>
      <c r="CL133" s="534"/>
      <c r="CM133" s="535"/>
      <c r="CN133" s="534"/>
      <c r="CO133" s="540"/>
      <c r="CP133" s="540"/>
      <c r="CQ133" s="540"/>
      <c r="CR133" s="542"/>
      <c r="CS133" s="542"/>
      <c r="CT133" s="548"/>
      <c r="CU133" s="535"/>
      <c r="CV133" s="548"/>
      <c r="CW133" s="535"/>
      <c r="CX133" s="535"/>
      <c r="CY133" s="535"/>
      <c r="CZ133" s="529"/>
      <c r="DA133" s="533"/>
      <c r="DB133" s="531"/>
      <c r="DC133" s="531"/>
      <c r="DD133" s="531"/>
      <c r="DE133" s="531"/>
      <c r="DF133" s="531"/>
      <c r="DG133" s="531"/>
      <c r="DH133" s="531"/>
      <c r="DI133" s="531"/>
      <c r="DJ133" s="531"/>
      <c r="DK133" s="531"/>
      <c r="DL133" s="531"/>
      <c r="DM133" s="531"/>
      <c r="DN133" s="531"/>
      <c r="DO133" s="531"/>
      <c r="DP133" s="531"/>
      <c r="DQ133" s="531"/>
      <c r="DR133" s="531"/>
    </row>
    <row r="134" spans="1:122" ht="18.75" x14ac:dyDescent="0.3">
      <c r="A134" s="325">
        <v>541199</v>
      </c>
      <c r="B134" s="326">
        <v>96</v>
      </c>
      <c r="C134" s="327" t="s">
        <v>1830</v>
      </c>
      <c r="D134" s="424" t="s">
        <v>834</v>
      </c>
      <c r="E134" s="328"/>
      <c r="F134" s="173"/>
      <c r="G134" s="173"/>
      <c r="H134" s="373" t="s">
        <v>834</v>
      </c>
      <c r="I134" s="427"/>
      <c r="J134" s="173" t="s">
        <v>834</v>
      </c>
      <c r="K134" s="371"/>
      <c r="L134" s="426" t="s">
        <v>834</v>
      </c>
      <c r="M134" s="427"/>
      <c r="N134" s="173" t="s">
        <v>834</v>
      </c>
      <c r="O134" s="171"/>
      <c r="P134" s="445" t="s">
        <v>834</v>
      </c>
      <c r="Q134" s="427"/>
      <c r="R134" s="374">
        <v>0.39800000000000002</v>
      </c>
      <c r="S134" s="168" t="s">
        <v>837</v>
      </c>
      <c r="T134" s="428" t="s">
        <v>834</v>
      </c>
      <c r="U134" s="376"/>
      <c r="V134" s="429" t="s">
        <v>834</v>
      </c>
      <c r="W134" s="377" t="s">
        <v>992</v>
      </c>
      <c r="X134" s="167" t="s">
        <v>834</v>
      </c>
      <c r="Y134" s="168" t="s">
        <v>856</v>
      </c>
      <c r="Z134" s="167">
        <v>4</v>
      </c>
      <c r="AA134" s="168"/>
      <c r="AB134" s="167" t="s">
        <v>834</v>
      </c>
      <c r="AC134" s="168"/>
      <c r="AD134" s="430" t="s">
        <v>834</v>
      </c>
      <c r="AE134" s="168"/>
      <c r="AF134" s="173" t="s">
        <v>834</v>
      </c>
      <c r="AG134" s="171"/>
      <c r="AH134" s="167" t="s">
        <v>834</v>
      </c>
      <c r="AI134" s="168"/>
      <c r="AJ134" s="373" t="s">
        <v>834</v>
      </c>
      <c r="AK134" s="431"/>
      <c r="AL134" s="167" t="s">
        <v>834</v>
      </c>
      <c r="AM134" s="168"/>
      <c r="AN134" s="173" t="s">
        <v>834</v>
      </c>
      <c r="AO134" s="171"/>
      <c r="AP134" s="432" t="s">
        <v>834</v>
      </c>
      <c r="AQ134" s="168"/>
      <c r="AR134" s="173" t="s">
        <v>834</v>
      </c>
      <c r="AS134" s="171"/>
      <c r="AT134" s="173" t="s">
        <v>834</v>
      </c>
      <c r="AU134" s="171"/>
      <c r="AV134" s="381" t="s">
        <v>834</v>
      </c>
      <c r="AW134" s="168"/>
      <c r="AX134" s="433" t="s">
        <v>834</v>
      </c>
      <c r="AY134" s="427"/>
      <c r="AZ134" s="167" t="s">
        <v>834</v>
      </c>
      <c r="BA134" s="427"/>
      <c r="BB134" s="164" t="s">
        <v>834</v>
      </c>
      <c r="BC134" s="168"/>
      <c r="BD134" s="464"/>
      <c r="BE134" s="427"/>
      <c r="BF134" s="384" t="s">
        <v>834</v>
      </c>
      <c r="BG134" s="168" t="s">
        <v>1831</v>
      </c>
      <c r="BH134" s="432" t="s">
        <v>834</v>
      </c>
      <c r="BI134" s="168"/>
      <c r="BJ134" s="167"/>
      <c r="BK134" s="167"/>
      <c r="BL134" s="167" t="s">
        <v>834</v>
      </c>
      <c r="BM134" s="168"/>
      <c r="BN134" s="173">
        <v>5.125</v>
      </c>
      <c r="BO134" s="171"/>
      <c r="BP134" s="435" t="s">
        <v>834</v>
      </c>
      <c r="BQ134" s="436"/>
      <c r="BR134" s="167" t="s">
        <v>834</v>
      </c>
      <c r="BS134" s="168"/>
      <c r="BT134" s="167" t="s">
        <v>834</v>
      </c>
      <c r="BU134" s="168"/>
      <c r="BV134" s="167" t="s">
        <v>834</v>
      </c>
      <c r="BW134" s="168"/>
      <c r="BX134" s="437" t="s">
        <v>834</v>
      </c>
      <c r="BY134" s="171"/>
      <c r="BZ134" s="432"/>
      <c r="CA134" s="168"/>
      <c r="CB134" s="167" t="s">
        <v>834</v>
      </c>
      <c r="CC134" s="168"/>
      <c r="CD134" s="173" t="s">
        <v>834</v>
      </c>
      <c r="CE134" s="171"/>
      <c r="CF134" s="373" t="s">
        <v>834</v>
      </c>
      <c r="CG134" s="175" t="s">
        <v>1429</v>
      </c>
      <c r="CH134" s="167">
        <v>4.5</v>
      </c>
      <c r="CI134" s="168"/>
      <c r="CJ134" s="167" t="s">
        <v>834</v>
      </c>
      <c r="CK134" s="168"/>
      <c r="CL134" s="385" t="s">
        <v>834</v>
      </c>
      <c r="CM134" s="168"/>
      <c r="CN134" s="385" t="s">
        <v>834</v>
      </c>
      <c r="CO134" s="168"/>
      <c r="CP134" s="167" t="s">
        <v>834</v>
      </c>
      <c r="CQ134" s="168"/>
      <c r="CR134" s="373" t="s">
        <v>834</v>
      </c>
      <c r="CS134" s="427"/>
      <c r="CT134" s="455">
        <v>1.5</v>
      </c>
      <c r="CU134" s="168" t="s">
        <v>840</v>
      </c>
      <c r="CV134" s="432">
        <v>6</v>
      </c>
      <c r="CW134" s="168"/>
      <c r="CX134" s="168" t="s">
        <v>834</v>
      </c>
      <c r="CY134" s="168"/>
      <c r="CZ134" s="173" t="s">
        <v>834</v>
      </c>
      <c r="DA134" s="171"/>
      <c r="DB134" s="371"/>
      <c r="DC134" s="371">
        <f t="shared" ref="DC134:DC144" si="14">COUNT(D134:CZ134)</f>
        <v>6</v>
      </c>
      <c r="DD134" s="371"/>
      <c r="DE134" s="371"/>
      <c r="DF134" s="371"/>
      <c r="DG134" s="371"/>
      <c r="DH134" s="371"/>
      <c r="DI134" s="371"/>
      <c r="DJ134" s="371"/>
      <c r="DK134" s="371"/>
      <c r="DL134" s="371"/>
      <c r="DM134" s="371"/>
      <c r="DN134" s="371"/>
      <c r="DO134" s="371"/>
      <c r="DP134" s="371"/>
      <c r="DQ134" s="371"/>
      <c r="DR134" s="371"/>
    </row>
    <row r="135" spans="1:122" ht="18.75" x14ac:dyDescent="0.3">
      <c r="A135" s="325">
        <v>541820</v>
      </c>
      <c r="B135" s="326">
        <v>97</v>
      </c>
      <c r="C135" s="327" t="s">
        <v>1832</v>
      </c>
      <c r="D135" s="424" t="s">
        <v>834</v>
      </c>
      <c r="E135" s="328"/>
      <c r="F135" s="173"/>
      <c r="G135" s="173"/>
      <c r="H135" s="373" t="s">
        <v>834</v>
      </c>
      <c r="I135" s="427"/>
      <c r="J135" s="173" t="s">
        <v>834</v>
      </c>
      <c r="K135" s="371" t="s">
        <v>1833</v>
      </c>
      <c r="L135" s="426" t="s">
        <v>834</v>
      </c>
      <c r="M135" s="427"/>
      <c r="N135" s="173" t="s">
        <v>834</v>
      </c>
      <c r="O135" s="171"/>
      <c r="P135" s="445">
        <v>6.35</v>
      </c>
      <c r="Q135" s="427"/>
      <c r="R135" s="374">
        <v>0.39800000000000002</v>
      </c>
      <c r="S135" s="168" t="s">
        <v>837</v>
      </c>
      <c r="T135" s="428" t="s">
        <v>834</v>
      </c>
      <c r="U135" s="376"/>
      <c r="V135" s="429" t="s">
        <v>834</v>
      </c>
      <c r="W135" s="377" t="s">
        <v>992</v>
      </c>
      <c r="X135" s="167" t="s">
        <v>834</v>
      </c>
      <c r="Y135" s="168" t="s">
        <v>856</v>
      </c>
      <c r="Z135" s="167">
        <v>4</v>
      </c>
      <c r="AA135" s="168"/>
      <c r="AB135" s="167" t="s">
        <v>834</v>
      </c>
      <c r="AC135" s="168"/>
      <c r="AD135" s="430" t="s">
        <v>834</v>
      </c>
      <c r="AE135" s="168"/>
      <c r="AF135" s="173" t="s">
        <v>834</v>
      </c>
      <c r="AG135" s="171"/>
      <c r="AH135" s="167" t="s">
        <v>834</v>
      </c>
      <c r="AI135" s="168"/>
      <c r="AJ135" s="373" t="s">
        <v>834</v>
      </c>
      <c r="AK135" s="431"/>
      <c r="AL135" s="167" t="s">
        <v>834</v>
      </c>
      <c r="AM135" s="168"/>
      <c r="AN135" s="173" t="s">
        <v>834</v>
      </c>
      <c r="AO135" s="171"/>
      <c r="AP135" s="432" t="s">
        <v>834</v>
      </c>
      <c r="AQ135" s="168"/>
      <c r="AR135" s="173" t="s">
        <v>834</v>
      </c>
      <c r="AS135" s="171"/>
      <c r="AT135" s="173" t="s">
        <v>834</v>
      </c>
      <c r="AU135" s="171"/>
      <c r="AV135" s="381" t="s">
        <v>834</v>
      </c>
      <c r="AW135" s="167"/>
      <c r="AX135" s="433" t="s">
        <v>834</v>
      </c>
      <c r="AY135" s="427"/>
      <c r="AZ135" s="167" t="s">
        <v>834</v>
      </c>
      <c r="BA135" s="427"/>
      <c r="BB135" s="164" t="s">
        <v>834</v>
      </c>
      <c r="BC135" s="167"/>
      <c r="BD135" s="464"/>
      <c r="BE135" s="427"/>
      <c r="BF135" s="384" t="s">
        <v>834</v>
      </c>
      <c r="BG135" s="168"/>
      <c r="BH135" s="432" t="s">
        <v>834</v>
      </c>
      <c r="BI135" s="167"/>
      <c r="BJ135" s="167"/>
      <c r="BK135" s="167"/>
      <c r="BL135" s="167" t="s">
        <v>834</v>
      </c>
      <c r="BM135" s="167"/>
      <c r="BN135" s="173">
        <v>5.125</v>
      </c>
      <c r="BO135" s="171"/>
      <c r="BP135" s="435" t="s">
        <v>834</v>
      </c>
      <c r="BQ135" s="436"/>
      <c r="BR135" s="167" t="s">
        <v>834</v>
      </c>
      <c r="BS135" s="167"/>
      <c r="BT135" s="167" t="s">
        <v>834</v>
      </c>
      <c r="BU135" s="167"/>
      <c r="BV135" s="167" t="s">
        <v>834</v>
      </c>
      <c r="BW135" s="167"/>
      <c r="BX135" s="437" t="s">
        <v>834</v>
      </c>
      <c r="BY135" s="171"/>
      <c r="BZ135" s="432"/>
      <c r="CA135" s="168"/>
      <c r="CB135" s="167" t="s">
        <v>834</v>
      </c>
      <c r="CC135" s="167"/>
      <c r="CD135" s="173" t="s">
        <v>834</v>
      </c>
      <c r="CE135" s="171"/>
      <c r="CF135" s="167" t="s">
        <v>834</v>
      </c>
      <c r="CG135" s="175"/>
      <c r="CH135" s="167">
        <v>4.5</v>
      </c>
      <c r="CI135" s="168"/>
      <c r="CJ135" s="167" t="s">
        <v>834</v>
      </c>
      <c r="CK135" s="168"/>
      <c r="CL135" s="385" t="s">
        <v>834</v>
      </c>
      <c r="CM135" s="168"/>
      <c r="CN135" s="385" t="s">
        <v>834</v>
      </c>
      <c r="CO135" s="167"/>
      <c r="CP135" s="167" t="s">
        <v>834</v>
      </c>
      <c r="CQ135" s="167"/>
      <c r="CR135" s="373" t="s">
        <v>834</v>
      </c>
      <c r="CS135" s="373"/>
      <c r="CT135" s="455">
        <v>1.5</v>
      </c>
      <c r="CU135" s="168" t="s">
        <v>840</v>
      </c>
      <c r="CV135" s="432">
        <v>6</v>
      </c>
      <c r="CW135" s="168"/>
      <c r="CX135" s="168" t="s">
        <v>834</v>
      </c>
      <c r="CY135" s="168"/>
      <c r="CZ135" s="173" t="s">
        <v>834</v>
      </c>
      <c r="DA135" s="171"/>
      <c r="DB135" s="371"/>
      <c r="DC135" s="371">
        <f t="shared" si="14"/>
        <v>7</v>
      </c>
      <c r="DD135" s="371"/>
      <c r="DE135" s="371"/>
      <c r="DF135" s="371"/>
      <c r="DG135" s="371"/>
      <c r="DH135" s="371"/>
      <c r="DI135" s="371"/>
      <c r="DJ135" s="371"/>
      <c r="DK135" s="371"/>
      <c r="DL135" s="371"/>
      <c r="DM135" s="371"/>
      <c r="DN135" s="371"/>
      <c r="DO135" s="371"/>
      <c r="DP135" s="371"/>
      <c r="DQ135" s="371"/>
      <c r="DR135" s="371"/>
    </row>
    <row r="136" spans="1:122" ht="18.75" x14ac:dyDescent="0.3">
      <c r="A136" s="325" t="s">
        <v>1834</v>
      </c>
      <c r="B136" s="326">
        <v>98</v>
      </c>
      <c r="C136" s="327" t="s">
        <v>1835</v>
      </c>
      <c r="D136" s="424" t="s">
        <v>834</v>
      </c>
      <c r="E136" s="328"/>
      <c r="F136" s="173"/>
      <c r="G136" s="173"/>
      <c r="H136" s="373" t="s">
        <v>834</v>
      </c>
      <c r="I136" s="427"/>
      <c r="J136" s="173" t="s">
        <v>834</v>
      </c>
      <c r="K136" s="371"/>
      <c r="L136" s="426" t="s">
        <v>834</v>
      </c>
      <c r="M136" s="427" t="s">
        <v>1836</v>
      </c>
      <c r="N136" s="173" t="s">
        <v>834</v>
      </c>
      <c r="O136" s="171"/>
      <c r="P136" s="445">
        <v>6.35</v>
      </c>
      <c r="Q136" s="427"/>
      <c r="R136" s="374">
        <v>0.39800000000000002</v>
      </c>
      <c r="S136" s="168" t="s">
        <v>837</v>
      </c>
      <c r="T136" s="428" t="s">
        <v>834</v>
      </c>
      <c r="U136" s="376"/>
      <c r="V136" s="429" t="s">
        <v>834</v>
      </c>
      <c r="W136" s="377" t="s">
        <v>992</v>
      </c>
      <c r="X136" s="167" t="s">
        <v>834</v>
      </c>
      <c r="Y136" s="168" t="s">
        <v>856</v>
      </c>
      <c r="Z136" s="167">
        <v>4</v>
      </c>
      <c r="AA136" s="168"/>
      <c r="AB136" s="167" t="s">
        <v>834</v>
      </c>
      <c r="AC136" s="168"/>
      <c r="AD136" s="430" t="s">
        <v>834</v>
      </c>
      <c r="AE136" s="168"/>
      <c r="AF136" s="173" t="s">
        <v>834</v>
      </c>
      <c r="AG136" s="171"/>
      <c r="AH136" s="167" t="s">
        <v>834</v>
      </c>
      <c r="AI136" s="453" t="s">
        <v>1478</v>
      </c>
      <c r="AJ136" s="373" t="s">
        <v>834</v>
      </c>
      <c r="AK136" s="431"/>
      <c r="AL136" s="167" t="s">
        <v>834</v>
      </c>
      <c r="AM136" s="168"/>
      <c r="AN136" s="173" t="s">
        <v>834</v>
      </c>
      <c r="AO136" s="171"/>
      <c r="AP136" s="432" t="s">
        <v>834</v>
      </c>
      <c r="AQ136" s="168"/>
      <c r="AR136" s="173" t="s">
        <v>834</v>
      </c>
      <c r="AS136" s="171" t="s">
        <v>1837</v>
      </c>
      <c r="AT136" s="173" t="s">
        <v>834</v>
      </c>
      <c r="AU136" s="171"/>
      <c r="AV136" s="381" t="s">
        <v>834</v>
      </c>
      <c r="AW136" s="168" t="s">
        <v>1838</v>
      </c>
      <c r="AX136" s="433" t="s">
        <v>834</v>
      </c>
      <c r="AY136" s="427"/>
      <c r="AZ136" s="167" t="s">
        <v>834</v>
      </c>
      <c r="BA136" s="427"/>
      <c r="BB136" s="164" t="s">
        <v>834</v>
      </c>
      <c r="BC136" s="167"/>
      <c r="BD136" s="464"/>
      <c r="BE136" s="427"/>
      <c r="BF136" s="384" t="s">
        <v>834</v>
      </c>
      <c r="BG136" s="168"/>
      <c r="BH136" s="432" t="s">
        <v>834</v>
      </c>
      <c r="BI136" s="168"/>
      <c r="BJ136" s="167" t="s">
        <v>546</v>
      </c>
      <c r="BK136" s="167"/>
      <c r="BL136" s="167" t="s">
        <v>834</v>
      </c>
      <c r="BM136" s="167"/>
      <c r="BN136" s="173">
        <v>5.125</v>
      </c>
      <c r="BO136" s="171"/>
      <c r="BP136" s="435" t="s">
        <v>834</v>
      </c>
      <c r="BQ136" s="436"/>
      <c r="BR136" s="167" t="s">
        <v>834</v>
      </c>
      <c r="BS136" s="167"/>
      <c r="BT136" s="167" t="s">
        <v>834</v>
      </c>
      <c r="BU136" s="167"/>
      <c r="BV136" s="167" t="s">
        <v>834</v>
      </c>
      <c r="BW136" s="168" t="s">
        <v>1839</v>
      </c>
      <c r="BX136" s="437" t="s">
        <v>834</v>
      </c>
      <c r="BY136" s="171"/>
      <c r="BZ136" s="432"/>
      <c r="CA136" s="168"/>
      <c r="CB136" s="167">
        <v>6</v>
      </c>
      <c r="CC136" s="168" t="s">
        <v>1840</v>
      </c>
      <c r="CD136" s="173" t="s">
        <v>834</v>
      </c>
      <c r="CE136" s="171"/>
      <c r="CF136" s="167" t="s">
        <v>834</v>
      </c>
      <c r="CG136" s="175"/>
      <c r="CH136" s="167">
        <v>4.5</v>
      </c>
      <c r="CI136" s="168"/>
      <c r="CJ136" s="167" t="s">
        <v>834</v>
      </c>
      <c r="CK136" s="168"/>
      <c r="CL136" s="385" t="s">
        <v>834</v>
      </c>
      <c r="CM136" s="168"/>
      <c r="CN136" s="385" t="s">
        <v>834</v>
      </c>
      <c r="CO136" s="167"/>
      <c r="CP136" s="167" t="s">
        <v>834</v>
      </c>
      <c r="CQ136" s="167"/>
      <c r="CR136" s="373" t="s">
        <v>834</v>
      </c>
      <c r="CS136" s="373"/>
      <c r="CT136" s="455">
        <v>1.5</v>
      </c>
      <c r="CU136" s="168" t="s">
        <v>840</v>
      </c>
      <c r="CV136" s="432">
        <v>6</v>
      </c>
      <c r="CW136" s="168" t="s">
        <v>1841</v>
      </c>
      <c r="CX136" s="168" t="s">
        <v>834</v>
      </c>
      <c r="CY136" s="168"/>
      <c r="CZ136" s="173" t="s">
        <v>834</v>
      </c>
      <c r="DA136" s="171"/>
      <c r="DB136" s="371"/>
      <c r="DC136" s="371">
        <f t="shared" si="14"/>
        <v>8</v>
      </c>
      <c r="DD136" s="371"/>
      <c r="DE136" s="371"/>
      <c r="DF136" s="371"/>
      <c r="DG136" s="371"/>
      <c r="DH136" s="371"/>
      <c r="DI136" s="371"/>
      <c r="DJ136" s="371"/>
      <c r="DK136" s="371"/>
      <c r="DL136" s="371"/>
      <c r="DM136" s="371"/>
      <c r="DN136" s="371"/>
      <c r="DO136" s="371"/>
      <c r="DP136" s="371"/>
      <c r="DQ136" s="371"/>
      <c r="DR136" s="371"/>
    </row>
    <row r="137" spans="1:122" ht="18.75" x14ac:dyDescent="0.3">
      <c r="A137" s="325">
        <v>561612</v>
      </c>
      <c r="B137" s="326">
        <v>99</v>
      </c>
      <c r="C137" s="327" t="s">
        <v>1842</v>
      </c>
      <c r="D137" s="424" t="s">
        <v>834</v>
      </c>
      <c r="E137" s="328"/>
      <c r="F137" s="173"/>
      <c r="G137" s="173"/>
      <c r="H137" s="373">
        <v>6.5</v>
      </c>
      <c r="I137" s="427" t="s">
        <v>1843</v>
      </c>
      <c r="J137" s="173">
        <v>5.6</v>
      </c>
      <c r="K137" s="371" t="s">
        <v>1844</v>
      </c>
      <c r="L137" s="426" t="s">
        <v>834</v>
      </c>
      <c r="M137" s="427"/>
      <c r="N137" s="173" t="s">
        <v>834</v>
      </c>
      <c r="O137" s="171"/>
      <c r="P137" s="445">
        <v>6.35</v>
      </c>
      <c r="Q137" s="427"/>
      <c r="R137" s="374">
        <v>0.39800000000000002</v>
      </c>
      <c r="S137" s="168" t="s">
        <v>837</v>
      </c>
      <c r="T137" s="428">
        <v>5.75</v>
      </c>
      <c r="U137" s="376" t="s">
        <v>1845</v>
      </c>
      <c r="V137" s="429">
        <v>6</v>
      </c>
      <c r="W137" s="377" t="s">
        <v>992</v>
      </c>
      <c r="X137" s="167" t="s">
        <v>834</v>
      </c>
      <c r="Y137" s="168" t="s">
        <v>856</v>
      </c>
      <c r="Z137" s="167">
        <v>4</v>
      </c>
      <c r="AA137" s="168"/>
      <c r="AB137" s="167" t="s">
        <v>834</v>
      </c>
      <c r="AC137" s="168"/>
      <c r="AD137" s="430" t="s">
        <v>834</v>
      </c>
      <c r="AE137" s="168"/>
      <c r="AF137" s="173" t="s">
        <v>834</v>
      </c>
      <c r="AG137" s="171"/>
      <c r="AH137" s="167">
        <v>6</v>
      </c>
      <c r="AI137" s="453" t="s">
        <v>1846</v>
      </c>
      <c r="AJ137" s="373" t="s">
        <v>834</v>
      </c>
      <c r="AK137" s="431"/>
      <c r="AL137" s="167" t="s">
        <v>834</v>
      </c>
      <c r="AM137" s="168"/>
      <c r="AN137" s="173" t="s">
        <v>834</v>
      </c>
      <c r="AO137" s="171"/>
      <c r="AP137" s="432" t="s">
        <v>834</v>
      </c>
      <c r="AQ137" s="168"/>
      <c r="AR137" s="173">
        <v>6</v>
      </c>
      <c r="AS137" s="171"/>
      <c r="AT137" s="173" t="s">
        <v>834</v>
      </c>
      <c r="AU137" s="171"/>
      <c r="AV137" s="381" t="s">
        <v>834</v>
      </c>
      <c r="AW137" s="167"/>
      <c r="AX137" s="433">
        <v>6.875</v>
      </c>
      <c r="AY137" s="427" t="s">
        <v>1847</v>
      </c>
      <c r="AZ137" s="167" t="s">
        <v>834</v>
      </c>
      <c r="BA137" s="427"/>
      <c r="BB137" s="164" t="s">
        <v>834</v>
      </c>
      <c r="BC137" s="167"/>
      <c r="BD137" s="464" t="s">
        <v>546</v>
      </c>
      <c r="BE137" s="427"/>
      <c r="BF137" s="384">
        <v>5.5</v>
      </c>
      <c r="BG137" s="168" t="s">
        <v>1688</v>
      </c>
      <c r="BH137" s="432" t="s">
        <v>834</v>
      </c>
      <c r="BI137" s="167"/>
      <c r="BJ137" s="167"/>
      <c r="BK137" s="167"/>
      <c r="BL137" s="167">
        <v>6.875</v>
      </c>
      <c r="BM137" s="168" t="s">
        <v>1848</v>
      </c>
      <c r="BN137" s="173">
        <v>5.125</v>
      </c>
      <c r="BO137" s="171"/>
      <c r="BP137" s="435">
        <v>4</v>
      </c>
      <c r="BQ137" s="436"/>
      <c r="BR137" s="167" t="s">
        <v>834</v>
      </c>
      <c r="BS137" s="167"/>
      <c r="BT137" s="167" t="s">
        <v>834</v>
      </c>
      <c r="BU137" s="167"/>
      <c r="BV137" s="429">
        <v>5.75</v>
      </c>
      <c r="BW137" s="167"/>
      <c r="BX137" s="437" t="s">
        <v>834</v>
      </c>
      <c r="BY137" s="171"/>
      <c r="BZ137" s="432"/>
      <c r="CA137" s="168"/>
      <c r="CB137" s="167" t="s">
        <v>834</v>
      </c>
      <c r="CC137" s="168" t="s">
        <v>1849</v>
      </c>
      <c r="CD137" s="173" t="s">
        <v>834</v>
      </c>
      <c r="CE137" s="171"/>
      <c r="CF137" s="167" t="s">
        <v>834</v>
      </c>
      <c r="CG137" s="175"/>
      <c r="CH137" s="167">
        <v>4.5</v>
      </c>
      <c r="CI137" s="168"/>
      <c r="CJ137" s="167" t="s">
        <v>834</v>
      </c>
      <c r="CK137" s="168"/>
      <c r="CL137" s="385">
        <v>6.25</v>
      </c>
      <c r="CM137" s="168"/>
      <c r="CN137" s="385" t="s">
        <v>834</v>
      </c>
      <c r="CO137" s="167"/>
      <c r="CP137" s="167" t="s">
        <v>834</v>
      </c>
      <c r="CQ137" s="167"/>
      <c r="CR137" s="373" t="s">
        <v>834</v>
      </c>
      <c r="CS137" s="373"/>
      <c r="CT137" s="455">
        <v>1.5</v>
      </c>
      <c r="CU137" s="168" t="s">
        <v>1431</v>
      </c>
      <c r="CV137" s="432">
        <v>6</v>
      </c>
      <c r="CW137" s="168"/>
      <c r="CX137" s="168" t="s">
        <v>834</v>
      </c>
      <c r="CY137" s="168" t="s">
        <v>1850</v>
      </c>
      <c r="CZ137" s="173" t="s">
        <v>834</v>
      </c>
      <c r="DA137" s="171"/>
      <c r="DB137" s="371"/>
      <c r="DC137" s="371">
        <f t="shared" si="14"/>
        <v>19</v>
      </c>
      <c r="DD137" s="371"/>
      <c r="DE137" s="371"/>
      <c r="DF137" s="371"/>
      <c r="DG137" s="371"/>
      <c r="DH137" s="371"/>
      <c r="DI137" s="371"/>
      <c r="DJ137" s="371"/>
      <c r="DK137" s="371"/>
      <c r="DL137" s="371"/>
      <c r="DM137" s="371"/>
      <c r="DN137" s="371"/>
      <c r="DO137" s="371"/>
      <c r="DP137" s="371"/>
      <c r="DQ137" s="371"/>
      <c r="DR137" s="371"/>
    </row>
    <row r="138" spans="1:122" ht="18.75" x14ac:dyDescent="0.3">
      <c r="A138" s="325">
        <v>54189</v>
      </c>
      <c r="B138" s="326">
        <v>100</v>
      </c>
      <c r="C138" s="327" t="s">
        <v>1851</v>
      </c>
      <c r="D138" s="424" t="s">
        <v>834</v>
      </c>
      <c r="E138" s="328"/>
      <c r="F138" s="173"/>
      <c r="G138" s="173"/>
      <c r="H138" s="373">
        <v>6.5</v>
      </c>
      <c r="I138" s="427" t="s">
        <v>1852</v>
      </c>
      <c r="J138" s="173">
        <v>5.6</v>
      </c>
      <c r="K138" s="371" t="s">
        <v>1853</v>
      </c>
      <c r="L138" s="426">
        <v>7.25</v>
      </c>
      <c r="M138" s="427" t="s">
        <v>1854</v>
      </c>
      <c r="N138" s="173" t="s">
        <v>834</v>
      </c>
      <c r="O138" s="171" t="s">
        <v>1855</v>
      </c>
      <c r="P138" s="445">
        <v>6.35</v>
      </c>
      <c r="Q138" s="427" t="s">
        <v>1856</v>
      </c>
      <c r="R138" s="374">
        <v>0.39800000000000002</v>
      </c>
      <c r="S138" s="168" t="s">
        <v>837</v>
      </c>
      <c r="T138" s="428">
        <v>5.75</v>
      </c>
      <c r="U138" s="376" t="s">
        <v>1857</v>
      </c>
      <c r="V138" s="429" t="s">
        <v>834</v>
      </c>
      <c r="W138" s="377" t="s">
        <v>992</v>
      </c>
      <c r="X138" s="167" t="s">
        <v>834</v>
      </c>
      <c r="Y138" s="168" t="s">
        <v>856</v>
      </c>
      <c r="Z138" s="167">
        <v>4</v>
      </c>
      <c r="AA138" s="168"/>
      <c r="AB138" s="167">
        <v>6</v>
      </c>
      <c r="AC138" s="168" t="s">
        <v>1858</v>
      </c>
      <c r="AD138" s="430" t="s">
        <v>834</v>
      </c>
      <c r="AE138" s="168"/>
      <c r="AF138" s="173">
        <v>7</v>
      </c>
      <c r="AG138" s="171" t="s">
        <v>1859</v>
      </c>
      <c r="AH138" s="167">
        <v>6</v>
      </c>
      <c r="AI138" s="168"/>
      <c r="AJ138" s="425">
        <v>6.5</v>
      </c>
      <c r="AK138" s="431" t="s">
        <v>1860</v>
      </c>
      <c r="AL138" s="167" t="s">
        <v>834</v>
      </c>
      <c r="AM138" s="168" t="s">
        <v>1861</v>
      </c>
      <c r="AN138" s="173" t="s">
        <v>834</v>
      </c>
      <c r="AO138" s="171" t="s">
        <v>1740</v>
      </c>
      <c r="AP138" s="475">
        <v>5.5</v>
      </c>
      <c r="AQ138" s="168" t="s">
        <v>1862</v>
      </c>
      <c r="AR138" s="173">
        <v>6</v>
      </c>
      <c r="AS138" s="171" t="s">
        <v>1863</v>
      </c>
      <c r="AT138" s="173">
        <v>6.25</v>
      </c>
      <c r="AU138" s="171" t="s">
        <v>1864</v>
      </c>
      <c r="AV138" s="458">
        <v>6</v>
      </c>
      <c r="AW138" s="168" t="s">
        <v>1865</v>
      </c>
      <c r="AX138" s="433" t="s">
        <v>834</v>
      </c>
      <c r="AY138" s="427" t="s">
        <v>1866</v>
      </c>
      <c r="AZ138" s="167">
        <v>7</v>
      </c>
      <c r="BA138" s="427" t="s">
        <v>1795</v>
      </c>
      <c r="BB138" s="164" t="s">
        <v>834</v>
      </c>
      <c r="BC138" s="167"/>
      <c r="BD138" s="464"/>
      <c r="BE138" s="427"/>
      <c r="BF138" s="384">
        <v>5.5</v>
      </c>
      <c r="BG138" s="168" t="s">
        <v>1867</v>
      </c>
      <c r="BH138" s="432">
        <v>6.85</v>
      </c>
      <c r="BI138" s="168" t="s">
        <v>1868</v>
      </c>
      <c r="BJ138" s="167"/>
      <c r="BK138" s="167"/>
      <c r="BL138" s="167">
        <v>6.875</v>
      </c>
      <c r="BM138" s="168" t="s">
        <v>1869</v>
      </c>
      <c r="BN138" s="173">
        <v>5.125</v>
      </c>
      <c r="BO138" s="171"/>
      <c r="BP138" s="435">
        <v>4</v>
      </c>
      <c r="BQ138" s="436"/>
      <c r="BR138" s="385">
        <v>4.75</v>
      </c>
      <c r="BS138" s="168" t="s">
        <v>1870</v>
      </c>
      <c r="BT138" s="167" t="s">
        <v>834</v>
      </c>
      <c r="BU138" s="168" t="s">
        <v>883</v>
      </c>
      <c r="BV138" s="441">
        <v>5.75</v>
      </c>
      <c r="BW138" s="168" t="s">
        <v>1871</v>
      </c>
      <c r="BX138" s="437" t="s">
        <v>995</v>
      </c>
      <c r="BY138" s="171" t="s">
        <v>1872</v>
      </c>
      <c r="BZ138" s="432" t="s">
        <v>546</v>
      </c>
      <c r="CA138" s="168"/>
      <c r="CB138" s="373">
        <v>6</v>
      </c>
      <c r="CC138" s="175" t="s">
        <v>1873</v>
      </c>
      <c r="CD138" s="173">
        <v>7</v>
      </c>
      <c r="CE138" s="171" t="s">
        <v>1874</v>
      </c>
      <c r="CF138" s="167">
        <v>6</v>
      </c>
      <c r="CG138" s="175" t="s">
        <v>1875</v>
      </c>
      <c r="CH138" s="167">
        <v>4.5</v>
      </c>
      <c r="CI138" s="168" t="s">
        <v>1876</v>
      </c>
      <c r="CJ138" s="167">
        <v>7</v>
      </c>
      <c r="CK138" s="444" t="s">
        <v>1877</v>
      </c>
      <c r="CL138" s="445" t="s">
        <v>834</v>
      </c>
      <c r="CM138" s="168" t="s">
        <v>1878</v>
      </c>
      <c r="CN138" s="445" t="s">
        <v>834</v>
      </c>
      <c r="CO138" s="168" t="s">
        <v>1879</v>
      </c>
      <c r="CP138" s="167">
        <v>6</v>
      </c>
      <c r="CQ138" s="168" t="s">
        <v>1880</v>
      </c>
      <c r="CR138" s="373">
        <v>5.3</v>
      </c>
      <c r="CS138" s="427" t="s">
        <v>1881</v>
      </c>
      <c r="CT138" s="432">
        <v>6.5</v>
      </c>
      <c r="CU138" s="168" t="s">
        <v>938</v>
      </c>
      <c r="CV138" s="432" t="s">
        <v>834</v>
      </c>
      <c r="CW138" s="168" t="s">
        <v>1882</v>
      </c>
      <c r="CX138" s="168">
        <v>5</v>
      </c>
      <c r="CY138" s="168" t="s">
        <v>1883</v>
      </c>
      <c r="CZ138" s="173" t="s">
        <v>834</v>
      </c>
      <c r="DA138" s="171" t="s">
        <v>1884</v>
      </c>
      <c r="DB138" s="371" t="s">
        <v>546</v>
      </c>
      <c r="DC138" s="371">
        <f t="shared" si="14"/>
        <v>32</v>
      </c>
      <c r="DD138" s="371"/>
      <c r="DE138" s="371"/>
      <c r="DF138" s="371"/>
      <c r="DG138" s="371"/>
      <c r="DH138" s="371"/>
      <c r="DI138" s="371"/>
      <c r="DJ138" s="371"/>
      <c r="DK138" s="371"/>
      <c r="DL138" s="371"/>
      <c r="DM138" s="371"/>
      <c r="DN138" s="371"/>
      <c r="DO138" s="371"/>
      <c r="DP138" s="371"/>
      <c r="DQ138" s="371"/>
      <c r="DR138" s="371"/>
    </row>
    <row r="139" spans="1:122" ht="18.75" x14ac:dyDescent="0.3">
      <c r="A139" s="325">
        <v>561422</v>
      </c>
      <c r="B139" s="326">
        <v>101</v>
      </c>
      <c r="C139" s="327" t="s">
        <v>1885</v>
      </c>
      <c r="D139" s="424" t="s">
        <v>834</v>
      </c>
      <c r="E139" s="328"/>
      <c r="F139" s="173"/>
      <c r="G139" s="173"/>
      <c r="H139" s="373" t="s">
        <v>834</v>
      </c>
      <c r="I139" s="427"/>
      <c r="J139" s="173" t="s">
        <v>834</v>
      </c>
      <c r="K139" s="371"/>
      <c r="L139" s="426" t="s">
        <v>834</v>
      </c>
      <c r="M139" s="427"/>
      <c r="N139" s="173" t="s">
        <v>834</v>
      </c>
      <c r="O139" s="171"/>
      <c r="P139" s="445" t="s">
        <v>834</v>
      </c>
      <c r="Q139" s="427"/>
      <c r="R139" s="374">
        <v>0.39800000000000002</v>
      </c>
      <c r="S139" s="168" t="s">
        <v>837</v>
      </c>
      <c r="T139" s="428" t="s">
        <v>834</v>
      </c>
      <c r="U139" s="376"/>
      <c r="V139" s="429" t="s">
        <v>834</v>
      </c>
      <c r="W139" s="377" t="s">
        <v>992</v>
      </c>
      <c r="X139" s="167" t="s">
        <v>834</v>
      </c>
      <c r="Y139" s="168" t="s">
        <v>856</v>
      </c>
      <c r="Z139" s="167">
        <v>4</v>
      </c>
      <c r="AA139" s="168"/>
      <c r="AB139" s="167" t="s">
        <v>834</v>
      </c>
      <c r="AC139" s="168"/>
      <c r="AD139" s="430" t="s">
        <v>834</v>
      </c>
      <c r="AE139" s="168"/>
      <c r="AF139" s="173" t="s">
        <v>834</v>
      </c>
      <c r="AG139" s="171"/>
      <c r="AH139" s="167" t="s">
        <v>834</v>
      </c>
      <c r="AI139" s="168"/>
      <c r="AJ139" s="373" t="s">
        <v>834</v>
      </c>
      <c r="AK139" s="431"/>
      <c r="AL139" s="167" t="s">
        <v>834</v>
      </c>
      <c r="AM139" s="168"/>
      <c r="AN139" s="173" t="s">
        <v>834</v>
      </c>
      <c r="AO139" s="171"/>
      <c r="AP139" s="432" t="s">
        <v>834</v>
      </c>
      <c r="AQ139" s="168"/>
      <c r="AR139" s="173" t="s">
        <v>834</v>
      </c>
      <c r="AS139" s="171"/>
      <c r="AT139" s="173" t="s">
        <v>834</v>
      </c>
      <c r="AU139" s="171"/>
      <c r="AV139" s="381" t="s">
        <v>834</v>
      </c>
      <c r="AW139" s="168"/>
      <c r="AX139" s="433" t="s">
        <v>834</v>
      </c>
      <c r="AY139" s="427"/>
      <c r="AZ139" s="167" t="s">
        <v>834</v>
      </c>
      <c r="BA139" s="427"/>
      <c r="BB139" s="164" t="s">
        <v>834</v>
      </c>
      <c r="BC139" s="168"/>
      <c r="BD139" s="464"/>
      <c r="BE139" s="427"/>
      <c r="BF139" s="384" t="s">
        <v>834</v>
      </c>
      <c r="BG139" s="168"/>
      <c r="BH139" s="432" t="s">
        <v>834</v>
      </c>
      <c r="BI139" s="168"/>
      <c r="BJ139" s="167"/>
      <c r="BK139" s="167"/>
      <c r="BL139" s="167" t="s">
        <v>834</v>
      </c>
      <c r="BM139" s="168"/>
      <c r="BN139" s="173">
        <v>5.125</v>
      </c>
      <c r="BO139" s="171"/>
      <c r="BP139" s="435" t="s">
        <v>834</v>
      </c>
      <c r="BQ139" s="436"/>
      <c r="BR139" s="167" t="s">
        <v>834</v>
      </c>
      <c r="BS139" s="168"/>
      <c r="BT139" s="167" t="s">
        <v>834</v>
      </c>
      <c r="BU139" s="168"/>
      <c r="BV139" s="167" t="s">
        <v>834</v>
      </c>
      <c r="BW139" s="168"/>
      <c r="BX139" s="437" t="s">
        <v>834</v>
      </c>
      <c r="BY139" s="171"/>
      <c r="BZ139" s="432"/>
      <c r="CA139" s="168"/>
      <c r="CB139" s="167" t="s">
        <v>834</v>
      </c>
      <c r="CC139" s="168" t="s">
        <v>1886</v>
      </c>
      <c r="CD139" s="173" t="s">
        <v>834</v>
      </c>
      <c r="CE139" s="171"/>
      <c r="CF139" s="167" t="s">
        <v>834</v>
      </c>
      <c r="CG139" s="175"/>
      <c r="CH139" s="167">
        <v>4.5</v>
      </c>
      <c r="CI139" s="168"/>
      <c r="CJ139" s="167" t="s">
        <v>834</v>
      </c>
      <c r="CK139" s="168"/>
      <c r="CL139" s="385" t="s">
        <v>834</v>
      </c>
      <c r="CM139" s="168"/>
      <c r="CN139" s="385" t="s">
        <v>834</v>
      </c>
      <c r="CO139" s="168"/>
      <c r="CP139" s="167" t="s">
        <v>834</v>
      </c>
      <c r="CQ139" s="168"/>
      <c r="CR139" s="373" t="s">
        <v>834</v>
      </c>
      <c r="CS139" s="427"/>
      <c r="CT139" s="432">
        <v>1.5</v>
      </c>
      <c r="CU139" s="168" t="s">
        <v>840</v>
      </c>
      <c r="CV139" s="432">
        <v>6</v>
      </c>
      <c r="CW139" s="168"/>
      <c r="CX139" s="168" t="s">
        <v>834</v>
      </c>
      <c r="CY139" s="168"/>
      <c r="CZ139" s="173" t="s">
        <v>834</v>
      </c>
      <c r="DA139" s="171"/>
      <c r="DB139" s="371"/>
      <c r="DC139" s="371">
        <f t="shared" si="14"/>
        <v>6</v>
      </c>
      <c r="DD139" s="371"/>
      <c r="DE139" s="371"/>
      <c r="DF139" s="371"/>
      <c r="DG139" s="371"/>
      <c r="DH139" s="371"/>
      <c r="DI139" s="371"/>
      <c r="DJ139" s="371"/>
      <c r="DK139" s="371"/>
      <c r="DL139" s="371"/>
      <c r="DM139" s="371"/>
      <c r="DN139" s="371"/>
      <c r="DO139" s="371"/>
      <c r="DP139" s="371"/>
      <c r="DQ139" s="371"/>
      <c r="DR139" s="371"/>
    </row>
    <row r="140" spans="1:122" ht="18.75" x14ac:dyDescent="0.3">
      <c r="A140" s="325">
        <v>561421</v>
      </c>
      <c r="B140" s="326">
        <v>102</v>
      </c>
      <c r="C140" s="327" t="s">
        <v>1887</v>
      </c>
      <c r="D140" s="424" t="s">
        <v>834</v>
      </c>
      <c r="E140" s="328"/>
      <c r="F140" s="173"/>
      <c r="G140" s="173"/>
      <c r="H140" s="373">
        <v>6.5</v>
      </c>
      <c r="I140" s="427"/>
      <c r="J140" s="173" t="s">
        <v>834</v>
      </c>
      <c r="K140" s="371" t="s">
        <v>1888</v>
      </c>
      <c r="L140" s="426" t="s">
        <v>834</v>
      </c>
      <c r="M140" s="427"/>
      <c r="N140" s="173" t="s">
        <v>834</v>
      </c>
      <c r="O140" s="171"/>
      <c r="P140" s="445">
        <v>6.35</v>
      </c>
      <c r="Q140" s="427"/>
      <c r="R140" s="374">
        <v>0.39800000000000002</v>
      </c>
      <c r="S140" s="168" t="s">
        <v>837</v>
      </c>
      <c r="T140" s="428">
        <v>5.75</v>
      </c>
      <c r="U140" s="376"/>
      <c r="V140" s="429" t="s">
        <v>834</v>
      </c>
      <c r="W140" s="377" t="s">
        <v>992</v>
      </c>
      <c r="X140" s="167" t="s">
        <v>834</v>
      </c>
      <c r="Y140" s="168" t="s">
        <v>856</v>
      </c>
      <c r="Z140" s="167">
        <v>4</v>
      </c>
      <c r="AA140" s="168"/>
      <c r="AB140" s="167" t="s">
        <v>834</v>
      </c>
      <c r="AC140" s="168"/>
      <c r="AD140" s="430" t="s">
        <v>834</v>
      </c>
      <c r="AE140" s="168"/>
      <c r="AF140" s="173" t="s">
        <v>834</v>
      </c>
      <c r="AG140" s="171"/>
      <c r="AH140" s="167">
        <v>6</v>
      </c>
      <c r="AI140" s="168"/>
      <c r="AJ140" s="373">
        <v>6.5</v>
      </c>
      <c r="AK140" s="431" t="s">
        <v>863</v>
      </c>
      <c r="AL140" s="167" t="s">
        <v>834</v>
      </c>
      <c r="AM140" s="168"/>
      <c r="AN140" s="173" t="s">
        <v>834</v>
      </c>
      <c r="AO140" s="171"/>
      <c r="AP140" s="432" t="s">
        <v>834</v>
      </c>
      <c r="AQ140" s="168"/>
      <c r="AR140" s="173">
        <v>6</v>
      </c>
      <c r="AS140" s="171"/>
      <c r="AT140" s="173" t="s">
        <v>834</v>
      </c>
      <c r="AU140" s="171"/>
      <c r="AV140" s="381" t="s">
        <v>834</v>
      </c>
      <c r="AW140" s="167"/>
      <c r="AX140" s="443" t="s">
        <v>834</v>
      </c>
      <c r="AY140" s="427" t="s">
        <v>1889</v>
      </c>
      <c r="AZ140" s="167">
        <v>7</v>
      </c>
      <c r="BA140" s="427"/>
      <c r="BB140" s="164" t="s">
        <v>834</v>
      </c>
      <c r="BC140" s="167"/>
      <c r="BD140" s="464" t="s">
        <v>546</v>
      </c>
      <c r="BE140" s="427"/>
      <c r="BF140" s="384" t="s">
        <v>834</v>
      </c>
      <c r="BG140" s="168"/>
      <c r="BH140" s="432" t="s">
        <v>834</v>
      </c>
      <c r="BI140" s="167"/>
      <c r="BJ140" s="167"/>
      <c r="BK140" s="167"/>
      <c r="BL140" s="167">
        <v>6.875</v>
      </c>
      <c r="BM140" s="167"/>
      <c r="BN140" s="173">
        <v>5.125</v>
      </c>
      <c r="BO140" s="171"/>
      <c r="BP140" s="435">
        <v>4</v>
      </c>
      <c r="BQ140" s="436"/>
      <c r="BR140" s="167" t="s">
        <v>834</v>
      </c>
      <c r="BS140" s="167"/>
      <c r="BT140" s="167" t="s">
        <v>834</v>
      </c>
      <c r="BU140" s="167"/>
      <c r="BV140" s="167" t="s">
        <v>834</v>
      </c>
      <c r="BW140" s="168" t="s">
        <v>1890</v>
      </c>
      <c r="BX140" s="437" t="s">
        <v>834</v>
      </c>
      <c r="BY140" s="171" t="s">
        <v>1891</v>
      </c>
      <c r="BZ140" s="432" t="s">
        <v>546</v>
      </c>
      <c r="CA140" s="168"/>
      <c r="CB140" s="167">
        <v>6</v>
      </c>
      <c r="CC140" s="167"/>
      <c r="CD140" s="173">
        <v>7</v>
      </c>
      <c r="CE140" s="171"/>
      <c r="CF140" s="167">
        <v>6</v>
      </c>
      <c r="CG140" s="175" t="s">
        <v>1892</v>
      </c>
      <c r="CH140" s="167">
        <v>4.5</v>
      </c>
      <c r="CI140" s="168"/>
      <c r="CJ140" s="167" t="s">
        <v>834</v>
      </c>
      <c r="CK140" s="168"/>
      <c r="CL140" s="385">
        <v>6.25</v>
      </c>
      <c r="CM140" s="168"/>
      <c r="CN140" s="385" t="s">
        <v>834</v>
      </c>
      <c r="CO140" s="167"/>
      <c r="CP140" s="167" t="s">
        <v>834</v>
      </c>
      <c r="CQ140" s="167"/>
      <c r="CR140" s="373" t="s">
        <v>834</v>
      </c>
      <c r="CS140" s="454" t="s">
        <v>1893</v>
      </c>
      <c r="CT140" s="432">
        <v>1.5</v>
      </c>
      <c r="CU140" s="168" t="s">
        <v>840</v>
      </c>
      <c r="CV140" s="432">
        <v>6</v>
      </c>
      <c r="CW140" s="168"/>
      <c r="CX140" s="168">
        <v>5</v>
      </c>
      <c r="CY140" s="168" t="s">
        <v>1894</v>
      </c>
      <c r="CZ140" s="173" t="s">
        <v>834</v>
      </c>
      <c r="DA140" s="171"/>
      <c r="DB140" s="371"/>
      <c r="DC140" s="371">
        <f t="shared" si="14"/>
        <v>20</v>
      </c>
      <c r="DD140" s="371"/>
      <c r="DE140" s="371"/>
      <c r="DF140" s="371"/>
      <c r="DG140" s="371"/>
      <c r="DH140" s="371"/>
      <c r="DI140" s="371"/>
      <c r="DJ140" s="371"/>
      <c r="DK140" s="371"/>
      <c r="DL140" s="371"/>
      <c r="DM140" s="371"/>
      <c r="DN140" s="371"/>
      <c r="DO140" s="371"/>
      <c r="DP140" s="371"/>
      <c r="DQ140" s="371"/>
      <c r="DR140" s="371"/>
    </row>
    <row r="141" spans="1:122" ht="18.75" x14ac:dyDescent="0.25">
      <c r="A141" s="325">
        <v>56132</v>
      </c>
      <c r="B141" s="326">
        <v>103</v>
      </c>
      <c r="C141" s="327" t="s">
        <v>1895</v>
      </c>
      <c r="D141" s="424" t="s">
        <v>834</v>
      </c>
      <c r="E141" s="328"/>
      <c r="F141" s="173"/>
      <c r="G141" s="173"/>
      <c r="H141" s="373" t="s">
        <v>834</v>
      </c>
      <c r="I141" s="427"/>
      <c r="J141" s="173" t="s">
        <v>834</v>
      </c>
      <c r="K141" s="371"/>
      <c r="L141" s="426" t="s">
        <v>834</v>
      </c>
      <c r="M141" s="427"/>
      <c r="N141" s="173" t="s">
        <v>834</v>
      </c>
      <c r="O141" s="171"/>
      <c r="P141" s="445">
        <v>6.35</v>
      </c>
      <c r="Q141" s="427"/>
      <c r="R141" s="374">
        <v>0.39800000000000002</v>
      </c>
      <c r="S141" s="168" t="s">
        <v>837</v>
      </c>
      <c r="T141" s="561" t="s">
        <v>834</v>
      </c>
      <c r="U141" s="470" t="s">
        <v>1896</v>
      </c>
      <c r="V141" s="429" t="s">
        <v>834</v>
      </c>
      <c r="W141" s="377" t="s">
        <v>992</v>
      </c>
      <c r="X141" s="167" t="s">
        <v>834</v>
      </c>
      <c r="Y141" s="168" t="s">
        <v>856</v>
      </c>
      <c r="Z141" s="167">
        <v>4</v>
      </c>
      <c r="AA141" s="168"/>
      <c r="AB141" s="167" t="s">
        <v>834</v>
      </c>
      <c r="AC141" s="168"/>
      <c r="AD141" s="430" t="s">
        <v>834</v>
      </c>
      <c r="AE141" s="168"/>
      <c r="AF141" s="173" t="s">
        <v>834</v>
      </c>
      <c r="AG141" s="171"/>
      <c r="AH141" s="544" t="s">
        <v>834</v>
      </c>
      <c r="AI141" s="168" t="s">
        <v>1897</v>
      </c>
      <c r="AJ141" s="373" t="s">
        <v>834</v>
      </c>
      <c r="AK141" s="431"/>
      <c r="AL141" s="167" t="s">
        <v>834</v>
      </c>
      <c r="AM141" s="168"/>
      <c r="AN141" s="173" t="s">
        <v>834</v>
      </c>
      <c r="AO141" s="171"/>
      <c r="AP141" s="432" t="s">
        <v>834</v>
      </c>
      <c r="AQ141" s="168"/>
      <c r="AR141" s="173" t="s">
        <v>834</v>
      </c>
      <c r="AS141" s="171"/>
      <c r="AT141" s="173" t="s">
        <v>834</v>
      </c>
      <c r="AU141" s="171"/>
      <c r="AV141" s="381" t="s">
        <v>834</v>
      </c>
      <c r="AW141" s="167"/>
      <c r="AX141" s="433" t="s">
        <v>834</v>
      </c>
      <c r="AY141" s="427"/>
      <c r="AZ141" s="167" t="s">
        <v>834</v>
      </c>
      <c r="BA141" s="427"/>
      <c r="BB141" s="164" t="s">
        <v>834</v>
      </c>
      <c r="BC141" s="167"/>
      <c r="BD141" s="464" t="s">
        <v>546</v>
      </c>
      <c r="BE141" s="427"/>
      <c r="BF141" s="384" t="s">
        <v>834</v>
      </c>
      <c r="BG141" s="168"/>
      <c r="BH141" s="432" t="s">
        <v>834</v>
      </c>
      <c r="BI141" s="167"/>
      <c r="BJ141" s="167"/>
      <c r="BK141" s="167"/>
      <c r="BL141" s="167">
        <v>6.875</v>
      </c>
      <c r="BM141" s="168" t="s">
        <v>1898</v>
      </c>
      <c r="BN141" s="173">
        <v>5.125</v>
      </c>
      <c r="BO141" s="171"/>
      <c r="BP141" s="435" t="s">
        <v>834</v>
      </c>
      <c r="BQ141" s="436" t="s">
        <v>546</v>
      </c>
      <c r="BR141" s="167" t="s">
        <v>834</v>
      </c>
      <c r="BS141" s="168" t="s">
        <v>1899</v>
      </c>
      <c r="BT141" s="167" t="s">
        <v>834</v>
      </c>
      <c r="BU141" s="167"/>
      <c r="BV141" s="429">
        <v>5.75</v>
      </c>
      <c r="BW141" s="168" t="s">
        <v>1732</v>
      </c>
      <c r="BX141" s="437" t="s">
        <v>834</v>
      </c>
      <c r="BY141" s="171"/>
      <c r="BZ141" s="432"/>
      <c r="CA141" s="168"/>
      <c r="CB141" s="167">
        <v>6</v>
      </c>
      <c r="CC141" s="168" t="s">
        <v>1900</v>
      </c>
      <c r="CD141" s="173" t="s">
        <v>834</v>
      </c>
      <c r="CE141" s="171"/>
      <c r="CF141" s="167" t="s">
        <v>834</v>
      </c>
      <c r="CG141" s="175"/>
      <c r="CH141" s="167">
        <v>4.5</v>
      </c>
      <c r="CI141" s="168"/>
      <c r="CJ141" s="167" t="s">
        <v>834</v>
      </c>
      <c r="CK141" s="168"/>
      <c r="CL141" s="385" t="s">
        <v>834</v>
      </c>
      <c r="CM141" s="168"/>
      <c r="CN141" s="385" t="s">
        <v>834</v>
      </c>
      <c r="CO141" s="167"/>
      <c r="CP141" s="167" t="s">
        <v>834</v>
      </c>
      <c r="CQ141" s="167"/>
      <c r="CR141" s="373" t="s">
        <v>834</v>
      </c>
      <c r="CS141" s="373"/>
      <c r="CT141" s="442">
        <v>6.5</v>
      </c>
      <c r="CU141" s="168" t="s">
        <v>1901</v>
      </c>
      <c r="CV141" s="432">
        <v>6</v>
      </c>
      <c r="CW141" s="168"/>
      <c r="CX141" s="168" t="s">
        <v>834</v>
      </c>
      <c r="CY141" s="168" t="s">
        <v>1902</v>
      </c>
      <c r="CZ141" s="173" t="s">
        <v>834</v>
      </c>
      <c r="DA141" s="171"/>
      <c r="DB141" s="371"/>
      <c r="DC141" s="371">
        <f t="shared" si="14"/>
        <v>10</v>
      </c>
      <c r="DD141" s="371"/>
      <c r="DE141" s="371"/>
      <c r="DF141" s="371"/>
      <c r="DG141" s="371"/>
      <c r="DH141" s="371"/>
      <c r="DI141" s="371"/>
      <c r="DJ141" s="371"/>
      <c r="DK141" s="371"/>
      <c r="DL141" s="371"/>
      <c r="DM141" s="371"/>
      <c r="DN141" s="371"/>
      <c r="DO141" s="371"/>
      <c r="DP141" s="371"/>
      <c r="DQ141" s="371"/>
      <c r="DR141" s="371"/>
    </row>
    <row r="142" spans="1:122" ht="18.75" x14ac:dyDescent="0.3">
      <c r="A142" s="325">
        <v>54138</v>
      </c>
      <c r="B142" s="326">
        <v>104</v>
      </c>
      <c r="C142" s="327" t="s">
        <v>1903</v>
      </c>
      <c r="D142" s="424" t="s">
        <v>834</v>
      </c>
      <c r="E142" s="328"/>
      <c r="F142" s="173"/>
      <c r="G142" s="173"/>
      <c r="H142" s="373" t="s">
        <v>834</v>
      </c>
      <c r="I142" s="427"/>
      <c r="J142" s="173" t="s">
        <v>834</v>
      </c>
      <c r="K142" s="371"/>
      <c r="L142" s="426" t="s">
        <v>834</v>
      </c>
      <c r="M142" s="427"/>
      <c r="N142" s="173" t="s">
        <v>834</v>
      </c>
      <c r="O142" s="171"/>
      <c r="P142" s="445" t="s">
        <v>834</v>
      </c>
      <c r="Q142" s="427"/>
      <c r="R142" s="374">
        <v>0.39800000000000002</v>
      </c>
      <c r="S142" s="168" t="s">
        <v>837</v>
      </c>
      <c r="T142" s="428" t="s">
        <v>834</v>
      </c>
      <c r="U142" s="376"/>
      <c r="V142" s="429" t="s">
        <v>834</v>
      </c>
      <c r="W142" s="377" t="s">
        <v>992</v>
      </c>
      <c r="X142" s="167" t="s">
        <v>834</v>
      </c>
      <c r="Y142" s="168" t="s">
        <v>856</v>
      </c>
      <c r="Z142" s="167">
        <v>4</v>
      </c>
      <c r="AA142" s="168"/>
      <c r="AB142" s="167" t="s">
        <v>834</v>
      </c>
      <c r="AC142" s="168"/>
      <c r="AD142" s="430" t="s">
        <v>834</v>
      </c>
      <c r="AE142" s="168"/>
      <c r="AF142" s="173" t="s">
        <v>834</v>
      </c>
      <c r="AG142" s="171"/>
      <c r="AH142" s="167">
        <v>6</v>
      </c>
      <c r="AI142" s="453" t="s">
        <v>1904</v>
      </c>
      <c r="AJ142" s="373" t="s">
        <v>834</v>
      </c>
      <c r="AK142" s="431"/>
      <c r="AL142" s="167" t="s">
        <v>834</v>
      </c>
      <c r="AM142" s="168"/>
      <c r="AN142" s="173" t="s">
        <v>834</v>
      </c>
      <c r="AO142" s="171"/>
      <c r="AP142" s="432" t="s">
        <v>834</v>
      </c>
      <c r="AQ142" s="168"/>
      <c r="AR142" s="173" t="s">
        <v>834</v>
      </c>
      <c r="AS142" s="171"/>
      <c r="AT142" s="173" t="s">
        <v>834</v>
      </c>
      <c r="AU142" s="171"/>
      <c r="AV142" s="381" t="s">
        <v>834</v>
      </c>
      <c r="AW142" s="167"/>
      <c r="AX142" s="433" t="s">
        <v>834</v>
      </c>
      <c r="AY142" s="427"/>
      <c r="AZ142" s="167" t="s">
        <v>834</v>
      </c>
      <c r="BA142" s="427" t="s">
        <v>1905</v>
      </c>
      <c r="BB142" s="164" t="s">
        <v>834</v>
      </c>
      <c r="BC142" s="167"/>
      <c r="BD142" s="464"/>
      <c r="BE142" s="427"/>
      <c r="BF142" s="384" t="s">
        <v>834</v>
      </c>
      <c r="BG142" s="168"/>
      <c r="BH142" s="432" t="s">
        <v>834</v>
      </c>
      <c r="BI142" s="167"/>
      <c r="BJ142" s="167"/>
      <c r="BK142" s="167"/>
      <c r="BL142" s="167" t="s">
        <v>834</v>
      </c>
      <c r="BM142" s="167"/>
      <c r="BN142" s="173">
        <v>5.125</v>
      </c>
      <c r="BO142" s="171"/>
      <c r="BP142" s="435" t="s">
        <v>834</v>
      </c>
      <c r="BQ142" s="436"/>
      <c r="BR142" s="167" t="s">
        <v>834</v>
      </c>
      <c r="BS142" s="167"/>
      <c r="BT142" s="167" t="s">
        <v>834</v>
      </c>
      <c r="BU142" s="167"/>
      <c r="BV142" s="167" t="s">
        <v>834</v>
      </c>
      <c r="BW142" s="167"/>
      <c r="BX142" s="437" t="s">
        <v>834</v>
      </c>
      <c r="BY142" s="171"/>
      <c r="BZ142" s="432"/>
      <c r="CA142" s="168"/>
      <c r="CB142" s="167" t="s">
        <v>834</v>
      </c>
      <c r="CC142" s="167"/>
      <c r="CD142" s="173" t="s">
        <v>834</v>
      </c>
      <c r="CE142" s="171"/>
      <c r="CF142" s="167" t="s">
        <v>834</v>
      </c>
      <c r="CG142" s="175"/>
      <c r="CH142" s="167">
        <v>4.5</v>
      </c>
      <c r="CI142" s="168"/>
      <c r="CJ142" s="167" t="s">
        <v>834</v>
      </c>
      <c r="CK142" s="168"/>
      <c r="CL142" s="385" t="s">
        <v>834</v>
      </c>
      <c r="CM142" s="168"/>
      <c r="CN142" s="385" t="s">
        <v>834</v>
      </c>
      <c r="CO142" s="167"/>
      <c r="CP142" s="167" t="s">
        <v>834</v>
      </c>
      <c r="CQ142" s="167"/>
      <c r="CR142" s="373" t="s">
        <v>834</v>
      </c>
      <c r="CS142" s="373"/>
      <c r="CT142" s="432">
        <v>1.5</v>
      </c>
      <c r="CU142" s="168" t="s">
        <v>840</v>
      </c>
      <c r="CV142" s="432">
        <v>6</v>
      </c>
      <c r="CW142" s="168"/>
      <c r="CX142" s="168">
        <v>5</v>
      </c>
      <c r="CY142" s="168" t="s">
        <v>1906</v>
      </c>
      <c r="CZ142" s="173" t="s">
        <v>834</v>
      </c>
      <c r="DA142" s="171"/>
      <c r="DB142" s="371"/>
      <c r="DC142" s="371">
        <f t="shared" si="14"/>
        <v>8</v>
      </c>
      <c r="DD142" s="371"/>
      <c r="DE142" s="371"/>
      <c r="DF142" s="371"/>
      <c r="DG142" s="371"/>
      <c r="DH142" s="371"/>
      <c r="DI142" s="371"/>
      <c r="DJ142" s="371"/>
      <c r="DK142" s="371"/>
      <c r="DL142" s="371"/>
      <c r="DM142" s="371"/>
      <c r="DN142" s="371"/>
      <c r="DO142" s="371"/>
      <c r="DP142" s="371"/>
      <c r="DQ142" s="371"/>
      <c r="DR142" s="371"/>
    </row>
    <row r="143" spans="1:122" ht="18.75" x14ac:dyDescent="0.3">
      <c r="A143" s="325" t="s">
        <v>1907</v>
      </c>
      <c r="B143" s="326">
        <v>105</v>
      </c>
      <c r="C143" s="327" t="s">
        <v>1908</v>
      </c>
      <c r="D143" s="424">
        <v>4</v>
      </c>
      <c r="E143" s="328" t="s">
        <v>1909</v>
      </c>
      <c r="F143" s="173" t="s">
        <v>546</v>
      </c>
      <c r="G143" s="173"/>
      <c r="H143" s="373">
        <v>6.5</v>
      </c>
      <c r="I143" s="427"/>
      <c r="J143" s="173" t="s">
        <v>834</v>
      </c>
      <c r="K143" s="371"/>
      <c r="L143" s="426">
        <v>7.25</v>
      </c>
      <c r="M143" s="427" t="s">
        <v>1910</v>
      </c>
      <c r="N143" s="173" t="s">
        <v>834</v>
      </c>
      <c r="O143" s="171"/>
      <c r="P143" s="445">
        <v>6.35</v>
      </c>
      <c r="Q143" s="427"/>
      <c r="R143" s="374">
        <v>0.39800000000000002</v>
      </c>
      <c r="S143" s="168" t="s">
        <v>837</v>
      </c>
      <c r="T143" s="428">
        <v>5.75</v>
      </c>
      <c r="U143" s="376"/>
      <c r="V143" s="429">
        <v>6</v>
      </c>
      <c r="W143" s="377" t="s">
        <v>992</v>
      </c>
      <c r="X143" s="167">
        <v>4</v>
      </c>
      <c r="Y143" s="168" t="s">
        <v>1911</v>
      </c>
      <c r="Z143" s="167">
        <v>4</v>
      </c>
      <c r="AA143" s="168"/>
      <c r="AB143" s="167" t="s">
        <v>834</v>
      </c>
      <c r="AC143" s="168"/>
      <c r="AD143" s="430" t="s">
        <v>834</v>
      </c>
      <c r="AE143" s="168"/>
      <c r="AF143" s="173" t="s">
        <v>834</v>
      </c>
      <c r="AG143" s="171" t="s">
        <v>1912</v>
      </c>
      <c r="AH143" s="167">
        <v>6</v>
      </c>
      <c r="AI143" s="168"/>
      <c r="AJ143" s="373">
        <v>6.5</v>
      </c>
      <c r="AK143" s="431" t="s">
        <v>863</v>
      </c>
      <c r="AL143" s="167">
        <v>6</v>
      </c>
      <c r="AM143" s="566" t="s">
        <v>1913</v>
      </c>
      <c r="AN143" s="173">
        <v>5</v>
      </c>
      <c r="AO143" s="171"/>
      <c r="AP143" s="432" t="s">
        <v>834</v>
      </c>
      <c r="AQ143" s="168"/>
      <c r="AR143" s="173" t="s">
        <v>834</v>
      </c>
      <c r="AS143" s="171"/>
      <c r="AT143" s="173" t="s">
        <v>834</v>
      </c>
      <c r="AU143" s="171"/>
      <c r="AV143" s="381" t="s">
        <v>834</v>
      </c>
      <c r="AW143" s="444" t="s">
        <v>1914</v>
      </c>
      <c r="AX143" s="433" t="s">
        <v>834</v>
      </c>
      <c r="AY143" s="427" t="s">
        <v>1915</v>
      </c>
      <c r="AZ143" s="167">
        <v>7</v>
      </c>
      <c r="BA143" s="427"/>
      <c r="BB143" s="164" t="s">
        <v>834</v>
      </c>
      <c r="BC143" s="168" t="s">
        <v>1916</v>
      </c>
      <c r="BD143" s="464" t="s">
        <v>546</v>
      </c>
      <c r="BE143" s="427"/>
      <c r="BF143" s="382">
        <v>5.5</v>
      </c>
      <c r="BG143" s="168" t="s">
        <v>1917</v>
      </c>
      <c r="BH143" s="432" t="s">
        <v>834</v>
      </c>
      <c r="BI143" s="167"/>
      <c r="BJ143" s="167"/>
      <c r="BK143" s="167"/>
      <c r="BL143" s="167">
        <v>6.875</v>
      </c>
      <c r="BM143" s="167"/>
      <c r="BN143" s="173">
        <v>5.125</v>
      </c>
      <c r="BO143" s="171"/>
      <c r="BP143" s="435">
        <v>4</v>
      </c>
      <c r="BQ143" s="436"/>
      <c r="BR143" s="385">
        <v>4.75</v>
      </c>
      <c r="BS143" s="168" t="s">
        <v>546</v>
      </c>
      <c r="BT143" s="167" t="s">
        <v>834</v>
      </c>
      <c r="BU143" s="168" t="s">
        <v>1918</v>
      </c>
      <c r="BV143" s="429">
        <v>5.75</v>
      </c>
      <c r="BW143" s="167"/>
      <c r="BX143" s="437" t="s">
        <v>834</v>
      </c>
      <c r="BY143" s="171"/>
      <c r="BZ143" s="432"/>
      <c r="CA143" s="168"/>
      <c r="CB143" s="167">
        <v>6</v>
      </c>
      <c r="CC143" s="167"/>
      <c r="CD143" s="173" t="s">
        <v>834</v>
      </c>
      <c r="CE143" s="171"/>
      <c r="CF143" s="167" t="s">
        <v>834</v>
      </c>
      <c r="CG143" s="175"/>
      <c r="CH143" s="167">
        <v>4.5</v>
      </c>
      <c r="CI143" s="168"/>
      <c r="CJ143" s="167">
        <v>7</v>
      </c>
      <c r="CK143" s="168"/>
      <c r="CL143" s="385" t="s">
        <v>834</v>
      </c>
      <c r="CM143" s="168" t="s">
        <v>1919</v>
      </c>
      <c r="CN143" s="385">
        <v>4.7</v>
      </c>
      <c r="CO143" s="167"/>
      <c r="CP143" s="167" t="s">
        <v>834</v>
      </c>
      <c r="CQ143" s="167"/>
      <c r="CR143" s="373" t="s">
        <v>834</v>
      </c>
      <c r="CS143" s="427" t="s">
        <v>1920</v>
      </c>
      <c r="CT143" s="432">
        <v>6.5</v>
      </c>
      <c r="CU143" s="168" t="s">
        <v>938</v>
      </c>
      <c r="CV143" s="432">
        <v>6</v>
      </c>
      <c r="CW143" s="168"/>
      <c r="CX143" s="168">
        <v>5</v>
      </c>
      <c r="CY143" s="168"/>
      <c r="CZ143" s="173">
        <v>4</v>
      </c>
      <c r="DA143" s="171" t="s">
        <v>1605</v>
      </c>
      <c r="DB143" s="371" t="s">
        <v>546</v>
      </c>
      <c r="DC143" s="371">
        <f t="shared" si="14"/>
        <v>28</v>
      </c>
      <c r="DD143" s="371"/>
      <c r="DE143" s="371"/>
      <c r="DF143" s="371"/>
      <c r="DG143" s="371"/>
      <c r="DH143" s="371"/>
      <c r="DI143" s="371"/>
      <c r="DJ143" s="371"/>
      <c r="DK143" s="371"/>
      <c r="DL143" s="371"/>
      <c r="DM143" s="371"/>
      <c r="DN143" s="371"/>
      <c r="DO143" s="371"/>
      <c r="DP143" s="371"/>
      <c r="DQ143" s="371"/>
      <c r="DR143" s="371"/>
    </row>
    <row r="144" spans="1:122" ht="18.75" x14ac:dyDescent="0.3">
      <c r="A144" s="325">
        <v>56172</v>
      </c>
      <c r="B144" s="326">
        <v>106</v>
      </c>
      <c r="C144" s="327" t="s">
        <v>1921</v>
      </c>
      <c r="D144" s="424" t="s">
        <v>834</v>
      </c>
      <c r="E144" s="328"/>
      <c r="F144" s="173"/>
      <c r="G144" s="173"/>
      <c r="H144" s="373">
        <v>6.5</v>
      </c>
      <c r="I144" s="427"/>
      <c r="J144" s="173" t="s">
        <v>834</v>
      </c>
      <c r="K144" s="371"/>
      <c r="L144" s="426" t="s">
        <v>834</v>
      </c>
      <c r="M144" s="427"/>
      <c r="N144" s="173" t="s">
        <v>834</v>
      </c>
      <c r="O144" s="171"/>
      <c r="P144" s="445">
        <v>6.35</v>
      </c>
      <c r="Q144" s="427"/>
      <c r="R144" s="374">
        <v>0.39800000000000002</v>
      </c>
      <c r="S144" s="168" t="s">
        <v>837</v>
      </c>
      <c r="T144" s="428">
        <v>5.75</v>
      </c>
      <c r="U144" s="470" t="s">
        <v>1922</v>
      </c>
      <c r="V144" s="429">
        <v>6</v>
      </c>
      <c r="W144" s="377" t="s">
        <v>992</v>
      </c>
      <c r="X144" s="167" t="s">
        <v>834</v>
      </c>
      <c r="Y144" s="168" t="s">
        <v>856</v>
      </c>
      <c r="Z144" s="167">
        <v>4</v>
      </c>
      <c r="AA144" s="168"/>
      <c r="AB144" s="167" t="s">
        <v>834</v>
      </c>
      <c r="AC144" s="168"/>
      <c r="AD144" s="430" t="s">
        <v>834</v>
      </c>
      <c r="AE144" s="168"/>
      <c r="AF144" s="173" t="s">
        <v>834</v>
      </c>
      <c r="AG144" s="171"/>
      <c r="AH144" s="167">
        <v>6</v>
      </c>
      <c r="AI144" s="168" t="s">
        <v>1923</v>
      </c>
      <c r="AJ144" s="373" t="s">
        <v>834</v>
      </c>
      <c r="AK144" s="431"/>
      <c r="AL144" s="167" t="s">
        <v>834</v>
      </c>
      <c r="AM144" s="168"/>
      <c r="AN144" s="173" t="s">
        <v>834</v>
      </c>
      <c r="AO144" s="171"/>
      <c r="AP144" s="432" t="s">
        <v>834</v>
      </c>
      <c r="AQ144" s="168"/>
      <c r="AR144" s="173">
        <v>6</v>
      </c>
      <c r="AS144" s="171"/>
      <c r="AT144" s="173" t="s">
        <v>834</v>
      </c>
      <c r="AU144" s="171"/>
      <c r="AV144" s="381" t="s">
        <v>834</v>
      </c>
      <c r="AW144" s="167"/>
      <c r="AX144" s="433">
        <v>6.875</v>
      </c>
      <c r="AY144" s="427"/>
      <c r="AZ144" s="167" t="s">
        <v>834</v>
      </c>
      <c r="BA144" s="427"/>
      <c r="BB144" s="164" t="s">
        <v>834</v>
      </c>
      <c r="BC144" s="167"/>
      <c r="BD144" s="464"/>
      <c r="BE144" s="427"/>
      <c r="BF144" s="384">
        <v>5.5</v>
      </c>
      <c r="BG144" s="168" t="s">
        <v>1757</v>
      </c>
      <c r="BH144" s="432" t="s">
        <v>834</v>
      </c>
      <c r="BI144" s="167"/>
      <c r="BJ144" s="167"/>
      <c r="BK144" s="167"/>
      <c r="BL144" s="167">
        <v>6.875</v>
      </c>
      <c r="BM144" s="167"/>
      <c r="BN144" s="173">
        <v>5.125</v>
      </c>
      <c r="BO144" s="171"/>
      <c r="BP144" s="435">
        <v>4</v>
      </c>
      <c r="BQ144" s="436"/>
      <c r="BR144" s="167" t="s">
        <v>834</v>
      </c>
      <c r="BS144" s="167"/>
      <c r="BT144" s="167" t="s">
        <v>834</v>
      </c>
      <c r="BU144" s="167"/>
      <c r="BV144" s="429">
        <v>5.75</v>
      </c>
      <c r="BW144" s="168" t="s">
        <v>1924</v>
      </c>
      <c r="BX144" s="437" t="s">
        <v>834</v>
      </c>
      <c r="BY144" s="171"/>
      <c r="BZ144" s="432"/>
      <c r="CA144" s="168"/>
      <c r="CB144" s="167">
        <v>6</v>
      </c>
      <c r="CC144" s="167"/>
      <c r="CD144" s="173" t="s">
        <v>834</v>
      </c>
      <c r="CE144" s="171"/>
      <c r="CF144" s="167" t="s">
        <v>834</v>
      </c>
      <c r="CG144" s="175"/>
      <c r="CH144" s="167">
        <v>4.5</v>
      </c>
      <c r="CI144" s="168"/>
      <c r="CJ144" s="167" t="s">
        <v>834</v>
      </c>
      <c r="CK144" s="168"/>
      <c r="CL144" s="385">
        <v>6.25</v>
      </c>
      <c r="CM144" s="168"/>
      <c r="CN144" s="385" t="s">
        <v>834</v>
      </c>
      <c r="CO144" s="168" t="s">
        <v>1615</v>
      </c>
      <c r="CP144" s="167" t="s">
        <v>834</v>
      </c>
      <c r="CQ144" s="167"/>
      <c r="CR144" s="373" t="s">
        <v>834</v>
      </c>
      <c r="CS144" s="373"/>
      <c r="CT144" s="432">
        <v>1.5</v>
      </c>
      <c r="CU144" s="168" t="s">
        <v>840</v>
      </c>
      <c r="CV144" s="432">
        <v>6</v>
      </c>
      <c r="CW144" s="168"/>
      <c r="CX144" s="168" t="s">
        <v>834</v>
      </c>
      <c r="CY144" s="168" t="s">
        <v>1925</v>
      </c>
      <c r="CZ144" s="173" t="s">
        <v>834</v>
      </c>
      <c r="DA144" s="171" t="s">
        <v>1926</v>
      </c>
      <c r="DB144" s="371" t="s">
        <v>546</v>
      </c>
      <c r="DC144" s="371">
        <f t="shared" si="14"/>
        <v>19</v>
      </c>
      <c r="DD144" s="371"/>
      <c r="DE144" s="371"/>
      <c r="DF144" s="371"/>
      <c r="DG144" s="371"/>
      <c r="DH144" s="371"/>
      <c r="DI144" s="371"/>
      <c r="DJ144" s="371"/>
      <c r="DK144" s="371"/>
      <c r="DL144" s="371"/>
      <c r="DM144" s="371"/>
      <c r="DN144" s="371"/>
      <c r="DO144" s="371"/>
      <c r="DP144" s="371"/>
      <c r="DQ144" s="371"/>
      <c r="DR144" s="371"/>
    </row>
    <row r="145" spans="1:122" ht="18.75" x14ac:dyDescent="0.3">
      <c r="A145" s="325"/>
      <c r="B145" s="268"/>
      <c r="C145" s="456"/>
      <c r="D145" s="424"/>
      <c r="E145" s="328"/>
      <c r="F145" s="173"/>
      <c r="G145" s="173"/>
      <c r="H145" s="373"/>
      <c r="I145" s="427"/>
      <c r="J145" s="173"/>
      <c r="K145" s="371"/>
      <c r="L145" s="426"/>
      <c r="M145" s="427"/>
      <c r="N145" s="173"/>
      <c r="O145" s="171"/>
      <c r="P145" s="385"/>
      <c r="Q145" s="427"/>
      <c r="R145" s="374"/>
      <c r="S145" s="168"/>
      <c r="T145" s="428"/>
      <c r="U145" s="376"/>
      <c r="V145" s="429"/>
      <c r="W145" s="377"/>
      <c r="X145" s="167"/>
      <c r="Y145" s="168"/>
      <c r="Z145" s="167"/>
      <c r="AA145" s="168"/>
      <c r="AB145" s="167"/>
      <c r="AC145" s="168"/>
      <c r="AD145" s="430" t="s">
        <v>546</v>
      </c>
      <c r="AE145" s="168"/>
      <c r="AF145" s="173"/>
      <c r="AG145" s="171"/>
      <c r="AH145" s="167"/>
      <c r="AI145" s="168"/>
      <c r="AJ145" s="373"/>
      <c r="AK145" s="431"/>
      <c r="AL145" s="167"/>
      <c r="AM145" s="168"/>
      <c r="AN145" s="173"/>
      <c r="AO145" s="171"/>
      <c r="AP145" s="432"/>
      <c r="AQ145" s="168"/>
      <c r="AR145" s="173"/>
      <c r="AS145" s="171"/>
      <c r="AT145" s="173"/>
      <c r="AU145" s="171"/>
      <c r="AV145" s="567"/>
      <c r="AW145" s="568"/>
      <c r="AX145" s="433"/>
      <c r="AY145" s="427"/>
      <c r="AZ145" s="167"/>
      <c r="BA145" s="427"/>
      <c r="BB145" s="164"/>
      <c r="BC145" s="168"/>
      <c r="BD145" s="464"/>
      <c r="BE145" s="427"/>
      <c r="BF145" s="384"/>
      <c r="BG145" s="168"/>
      <c r="BH145" s="432"/>
      <c r="BI145" s="168"/>
      <c r="BJ145" s="167"/>
      <c r="BK145" s="167"/>
      <c r="BL145" s="167"/>
      <c r="BM145" s="168"/>
      <c r="BN145" s="173" t="s">
        <v>546</v>
      </c>
      <c r="BO145" s="171"/>
      <c r="BP145" s="435"/>
      <c r="BQ145" s="436"/>
      <c r="BR145" s="167"/>
      <c r="BS145" s="168"/>
      <c r="BT145" s="167"/>
      <c r="BU145" s="168"/>
      <c r="BV145" s="167"/>
      <c r="BW145" s="168"/>
      <c r="BX145" s="437"/>
      <c r="BY145" s="171"/>
      <c r="BZ145" s="432"/>
      <c r="CA145" s="168"/>
      <c r="CB145" s="167"/>
      <c r="CC145" s="168"/>
      <c r="CD145" s="173"/>
      <c r="CE145" s="171"/>
      <c r="CF145" s="167"/>
      <c r="CG145" s="175"/>
      <c r="CH145" s="167"/>
      <c r="CI145" s="168"/>
      <c r="CJ145" s="167"/>
      <c r="CK145" s="168"/>
      <c r="CL145" s="385"/>
      <c r="CM145" s="168"/>
      <c r="CN145" s="385"/>
      <c r="CO145" s="168"/>
      <c r="CP145" s="167"/>
      <c r="CQ145" s="168"/>
      <c r="CR145" s="373"/>
      <c r="CS145" s="427"/>
      <c r="CT145" s="432"/>
      <c r="CU145" s="168"/>
      <c r="CV145" s="432"/>
      <c r="CW145" s="168"/>
      <c r="CX145" s="168"/>
      <c r="CY145" s="168"/>
      <c r="CZ145" s="173"/>
      <c r="DA145" s="171"/>
      <c r="DB145" s="371"/>
      <c r="DC145" s="371"/>
      <c r="DD145" s="371"/>
      <c r="DE145" s="371"/>
      <c r="DF145" s="371"/>
      <c r="DG145" s="371"/>
      <c r="DH145" s="371"/>
      <c r="DI145" s="371"/>
      <c r="DJ145" s="371"/>
      <c r="DK145" s="371"/>
      <c r="DL145" s="371"/>
      <c r="DM145" s="371"/>
      <c r="DN145" s="371"/>
      <c r="DO145" s="371"/>
      <c r="DP145" s="371"/>
      <c r="DQ145" s="371"/>
      <c r="DR145" s="371"/>
    </row>
    <row r="146" spans="1:122" ht="18.75" x14ac:dyDescent="0.3">
      <c r="A146" s="389"/>
      <c r="B146" s="448"/>
      <c r="C146" s="391" t="s">
        <v>1927</v>
      </c>
      <c r="D146" s="392" t="s">
        <v>832</v>
      </c>
      <c r="E146" s="393"/>
      <c r="F146" s="394" t="s">
        <v>832</v>
      </c>
      <c r="G146" s="394"/>
      <c r="H146" s="394" t="s">
        <v>832</v>
      </c>
      <c r="I146" s="401"/>
      <c r="J146" s="438" t="s">
        <v>832</v>
      </c>
      <c r="K146" s="397"/>
      <c r="L146" s="438" t="s">
        <v>832</v>
      </c>
      <c r="M146" s="401"/>
      <c r="N146" s="400" t="s">
        <v>832</v>
      </c>
      <c r="O146" s="172"/>
      <c r="P146" s="400" t="s">
        <v>832</v>
      </c>
      <c r="Q146" s="401"/>
      <c r="R146" s="400" t="s">
        <v>832</v>
      </c>
      <c r="S146" s="170"/>
      <c r="T146" s="400" t="s">
        <v>832</v>
      </c>
      <c r="U146" s="404"/>
      <c r="V146" s="400" t="s">
        <v>832</v>
      </c>
      <c r="W146" s="406"/>
      <c r="X146" s="400" t="s">
        <v>832</v>
      </c>
      <c r="Y146" s="170"/>
      <c r="Z146" s="400" t="s">
        <v>832</v>
      </c>
      <c r="AA146" s="170"/>
      <c r="AB146" s="400" t="s">
        <v>832</v>
      </c>
      <c r="AC146" s="170"/>
      <c r="AD146" s="408" t="s">
        <v>832</v>
      </c>
      <c r="AE146" s="170"/>
      <c r="AF146" s="408" t="s">
        <v>832</v>
      </c>
      <c r="AG146" s="172"/>
      <c r="AH146" s="408" t="s">
        <v>832</v>
      </c>
      <c r="AI146" s="170"/>
      <c r="AJ146" s="408" t="s">
        <v>832</v>
      </c>
      <c r="AK146" s="409"/>
      <c r="AL146" s="408" t="s">
        <v>832</v>
      </c>
      <c r="AM146" s="170"/>
      <c r="AN146" s="491" t="s">
        <v>832</v>
      </c>
      <c r="AO146" s="172"/>
      <c r="AP146" s="408" t="s">
        <v>832</v>
      </c>
      <c r="AQ146" s="170"/>
      <c r="AR146" s="438" t="s">
        <v>832</v>
      </c>
      <c r="AS146" s="172"/>
      <c r="AT146" s="438" t="s">
        <v>832</v>
      </c>
      <c r="AU146" s="172"/>
      <c r="AV146" s="408" t="s">
        <v>832</v>
      </c>
      <c r="AW146" s="170"/>
      <c r="AX146" s="408" t="s">
        <v>832</v>
      </c>
      <c r="AY146" s="401"/>
      <c r="AZ146" s="407" t="s">
        <v>832</v>
      </c>
      <c r="BA146" s="401"/>
      <c r="BB146" s="408" t="s">
        <v>832</v>
      </c>
      <c r="BC146" s="170"/>
      <c r="BD146" s="407" t="s">
        <v>832</v>
      </c>
      <c r="BE146" s="401"/>
      <c r="BF146" s="407" t="s">
        <v>832</v>
      </c>
      <c r="BG146" s="170"/>
      <c r="BH146" s="408" t="s">
        <v>832</v>
      </c>
      <c r="BI146" s="170"/>
      <c r="BJ146" s="407" t="s">
        <v>832</v>
      </c>
      <c r="BK146" s="407"/>
      <c r="BL146" s="408" t="s">
        <v>832</v>
      </c>
      <c r="BM146" s="170"/>
      <c r="BN146" s="438" t="s">
        <v>832</v>
      </c>
      <c r="BO146" s="172"/>
      <c r="BP146" s="408" t="s">
        <v>832</v>
      </c>
      <c r="BQ146" s="419"/>
      <c r="BR146" s="407" t="s">
        <v>832</v>
      </c>
      <c r="BS146" s="170"/>
      <c r="BT146" s="408" t="s">
        <v>832</v>
      </c>
      <c r="BU146" s="170"/>
      <c r="BV146" s="407" t="s">
        <v>832</v>
      </c>
      <c r="BW146" s="170"/>
      <c r="BX146" s="438" t="s">
        <v>832</v>
      </c>
      <c r="BY146" s="172"/>
      <c r="BZ146" s="408" t="s">
        <v>832</v>
      </c>
      <c r="CA146" s="170"/>
      <c r="CB146" s="408" t="s">
        <v>832</v>
      </c>
      <c r="CC146" s="170"/>
      <c r="CD146" s="407" t="s">
        <v>832</v>
      </c>
      <c r="CE146" s="172"/>
      <c r="CF146" s="408" t="s">
        <v>832</v>
      </c>
      <c r="CG146" s="399"/>
      <c r="CH146" s="408" t="s">
        <v>832</v>
      </c>
      <c r="CI146" s="170"/>
      <c r="CJ146" s="408" t="s">
        <v>832</v>
      </c>
      <c r="CK146" s="170"/>
      <c r="CL146" s="407" t="s">
        <v>832</v>
      </c>
      <c r="CM146" s="170"/>
      <c r="CN146" s="407" t="s">
        <v>832</v>
      </c>
      <c r="CO146" s="170"/>
      <c r="CP146" s="408" t="s">
        <v>832</v>
      </c>
      <c r="CQ146" s="170"/>
      <c r="CR146" s="408" t="s">
        <v>832</v>
      </c>
      <c r="CS146" s="401"/>
      <c r="CT146" s="408" t="s">
        <v>832</v>
      </c>
      <c r="CU146" s="170"/>
      <c r="CV146" s="407" t="s">
        <v>832</v>
      </c>
      <c r="CW146" s="170"/>
      <c r="CX146" s="407" t="s">
        <v>832</v>
      </c>
      <c r="CY146" s="170"/>
      <c r="CZ146" s="408" t="s">
        <v>832</v>
      </c>
      <c r="DA146" s="172"/>
      <c r="DB146" s="397"/>
      <c r="DC146" s="397"/>
      <c r="DD146" s="397"/>
      <c r="DE146" s="397"/>
      <c r="DF146" s="397"/>
      <c r="DG146" s="397"/>
      <c r="DH146" s="397"/>
      <c r="DI146" s="397"/>
      <c r="DJ146" s="397"/>
      <c r="DK146" s="397"/>
      <c r="DL146" s="397"/>
      <c r="DM146" s="397"/>
      <c r="DN146" s="397"/>
      <c r="DO146" s="397"/>
      <c r="DP146" s="397"/>
      <c r="DQ146" s="397"/>
      <c r="DR146" s="397"/>
    </row>
    <row r="147" spans="1:122" ht="18.75" x14ac:dyDescent="0.3">
      <c r="A147" s="325">
        <v>5112</v>
      </c>
      <c r="B147" s="326">
        <v>107</v>
      </c>
      <c r="C147" s="327" t="s">
        <v>1928</v>
      </c>
      <c r="D147" s="424">
        <v>4</v>
      </c>
      <c r="E147" s="328"/>
      <c r="F147" s="173" t="s">
        <v>546</v>
      </c>
      <c r="G147" s="173"/>
      <c r="H147" s="373">
        <v>6.5</v>
      </c>
      <c r="I147" s="427" t="s">
        <v>1929</v>
      </c>
      <c r="J147" s="173">
        <v>5.6</v>
      </c>
      <c r="K147" s="371" t="s">
        <v>1930</v>
      </c>
      <c r="L147" s="426">
        <v>7.25</v>
      </c>
      <c r="M147" s="427" t="s">
        <v>1931</v>
      </c>
      <c r="N147" s="173">
        <v>2.9</v>
      </c>
      <c r="O147" s="171" t="s">
        <v>1932</v>
      </c>
      <c r="P147" s="445">
        <v>6.35</v>
      </c>
      <c r="Q147" s="427"/>
      <c r="R147" s="374">
        <v>0.39800000000000002</v>
      </c>
      <c r="S147" s="168" t="s">
        <v>837</v>
      </c>
      <c r="T147" s="428">
        <v>5.75</v>
      </c>
      <c r="U147" s="376"/>
      <c r="V147" s="441">
        <v>6</v>
      </c>
      <c r="W147" s="377" t="s">
        <v>992</v>
      </c>
      <c r="X147" s="167">
        <v>4</v>
      </c>
      <c r="Y147" s="168"/>
      <c r="Z147" s="167">
        <v>4</v>
      </c>
      <c r="AA147" s="168"/>
      <c r="AB147" s="167">
        <v>6</v>
      </c>
      <c r="AC147" s="168" t="s">
        <v>1933</v>
      </c>
      <c r="AD147" s="430">
        <v>6.25</v>
      </c>
      <c r="AE147" s="168"/>
      <c r="AF147" s="173">
        <v>7</v>
      </c>
      <c r="AG147" s="171"/>
      <c r="AH147" s="167">
        <v>6</v>
      </c>
      <c r="AI147" s="453" t="s">
        <v>1934</v>
      </c>
      <c r="AJ147" s="373">
        <v>6.5</v>
      </c>
      <c r="AK147" s="431" t="s">
        <v>863</v>
      </c>
      <c r="AL147" s="167">
        <v>6</v>
      </c>
      <c r="AM147" s="168"/>
      <c r="AN147" s="173">
        <v>5</v>
      </c>
      <c r="AO147" s="171"/>
      <c r="AP147" s="475">
        <v>5.5</v>
      </c>
      <c r="AQ147" s="168"/>
      <c r="AR147" s="173">
        <v>6</v>
      </c>
      <c r="AS147" s="171"/>
      <c r="AT147" s="173">
        <v>6.25</v>
      </c>
      <c r="AU147" s="171"/>
      <c r="AV147" s="381">
        <v>6</v>
      </c>
      <c r="AW147" s="168"/>
      <c r="AX147" s="433">
        <v>6.875</v>
      </c>
      <c r="AY147" s="427"/>
      <c r="AZ147" s="167">
        <v>7</v>
      </c>
      <c r="BA147" s="427"/>
      <c r="BB147" s="164">
        <v>4.2249999999999996</v>
      </c>
      <c r="BC147" s="168" t="s">
        <v>1935</v>
      </c>
      <c r="BD147" s="464" t="s">
        <v>546</v>
      </c>
      <c r="BE147" s="427"/>
      <c r="BF147" s="384">
        <v>5.5</v>
      </c>
      <c r="BG147" s="168"/>
      <c r="BH147" s="432">
        <v>6.85</v>
      </c>
      <c r="BI147" s="168" t="s">
        <v>1797</v>
      </c>
      <c r="BJ147" s="167" t="s">
        <v>546</v>
      </c>
      <c r="BK147" s="167"/>
      <c r="BL147" s="373">
        <v>6.875</v>
      </c>
      <c r="BM147" s="168" t="s">
        <v>1936</v>
      </c>
      <c r="BN147" s="173">
        <v>5.125</v>
      </c>
      <c r="BO147" s="171"/>
      <c r="BP147" s="435">
        <v>4</v>
      </c>
      <c r="BQ147" s="436"/>
      <c r="BR147" s="385">
        <v>4.75</v>
      </c>
      <c r="BS147" s="168" t="s">
        <v>1937</v>
      </c>
      <c r="BT147" s="167">
        <v>5</v>
      </c>
      <c r="BU147" s="168" t="s">
        <v>1799</v>
      </c>
      <c r="BV147" s="429">
        <v>5.75</v>
      </c>
      <c r="BW147" s="168"/>
      <c r="BX147" s="437">
        <v>4.5</v>
      </c>
      <c r="BY147" s="171"/>
      <c r="BZ147" s="432"/>
      <c r="CA147" s="168"/>
      <c r="CB147" s="167">
        <v>6</v>
      </c>
      <c r="CC147" s="168"/>
      <c r="CD147" s="173">
        <v>7</v>
      </c>
      <c r="CE147" s="171"/>
      <c r="CF147" s="373">
        <v>6</v>
      </c>
      <c r="CG147" s="175" t="s">
        <v>1938</v>
      </c>
      <c r="CH147" s="167">
        <v>4.5</v>
      </c>
      <c r="CI147" s="168"/>
      <c r="CJ147" s="167">
        <v>7</v>
      </c>
      <c r="CK147" s="168"/>
      <c r="CL147" s="385">
        <v>6.25</v>
      </c>
      <c r="CM147" s="168" t="s">
        <v>1939</v>
      </c>
      <c r="CN147" s="385">
        <v>4.7</v>
      </c>
      <c r="CO147" s="168"/>
      <c r="CP147" s="167">
        <v>6</v>
      </c>
      <c r="CQ147" s="168" t="s">
        <v>546</v>
      </c>
      <c r="CR147" s="373">
        <v>5.3</v>
      </c>
      <c r="CS147" s="427" t="s">
        <v>1940</v>
      </c>
      <c r="CT147" s="432">
        <v>6.5</v>
      </c>
      <c r="CU147" s="168" t="s">
        <v>938</v>
      </c>
      <c r="CV147" s="432">
        <v>6</v>
      </c>
      <c r="CW147" s="168"/>
      <c r="CX147" s="168">
        <v>5</v>
      </c>
      <c r="CY147" s="168"/>
      <c r="CZ147" s="173">
        <v>4</v>
      </c>
      <c r="DA147" s="171" t="s">
        <v>1801</v>
      </c>
      <c r="DB147" s="371" t="s">
        <v>546</v>
      </c>
      <c r="DC147" s="371">
        <f t="shared" ref="DC147:DC155" si="15">COUNT(D147:CZ147)</f>
        <v>47</v>
      </c>
      <c r="DD147" s="371"/>
      <c r="DE147" s="371"/>
      <c r="DF147" s="371"/>
      <c r="DG147" s="371"/>
      <c r="DH147" s="371"/>
      <c r="DI147" s="371"/>
      <c r="DJ147" s="371"/>
      <c r="DK147" s="371"/>
      <c r="DL147" s="371"/>
      <c r="DM147" s="371"/>
      <c r="DN147" s="371"/>
      <c r="DO147" s="371"/>
      <c r="DP147" s="371"/>
      <c r="DQ147" s="371"/>
      <c r="DR147" s="371"/>
    </row>
    <row r="148" spans="1:122" ht="18.75" x14ac:dyDescent="0.3">
      <c r="A148" s="325" t="s">
        <v>1941</v>
      </c>
      <c r="B148" s="326">
        <v>108</v>
      </c>
      <c r="C148" s="327" t="s">
        <v>1942</v>
      </c>
      <c r="D148" s="424">
        <v>4</v>
      </c>
      <c r="E148" s="328"/>
      <c r="F148" s="173" t="s">
        <v>546</v>
      </c>
      <c r="G148" s="173"/>
      <c r="H148" s="373" t="s">
        <v>834</v>
      </c>
      <c r="I148" s="427"/>
      <c r="J148" s="173" t="s">
        <v>834</v>
      </c>
      <c r="K148" s="371" t="s">
        <v>1943</v>
      </c>
      <c r="L148" s="426">
        <v>7.25</v>
      </c>
      <c r="M148" s="427" t="s">
        <v>1944</v>
      </c>
      <c r="N148" s="173" t="s">
        <v>834</v>
      </c>
      <c r="O148" s="171"/>
      <c r="P148" s="445">
        <v>6.35</v>
      </c>
      <c r="Q148" s="427"/>
      <c r="R148" s="374">
        <v>0.39800000000000002</v>
      </c>
      <c r="S148" s="168" t="s">
        <v>837</v>
      </c>
      <c r="T148" s="428">
        <v>5.75</v>
      </c>
      <c r="U148" s="376"/>
      <c r="V148" s="441" t="s">
        <v>834</v>
      </c>
      <c r="W148" s="377" t="s">
        <v>1945</v>
      </c>
      <c r="X148" s="167">
        <v>4</v>
      </c>
      <c r="Y148" s="168"/>
      <c r="Z148" s="373">
        <v>4</v>
      </c>
      <c r="AA148" s="168" t="s">
        <v>1946</v>
      </c>
      <c r="AB148" s="167" t="s">
        <v>834</v>
      </c>
      <c r="AC148" s="168" t="s">
        <v>1947</v>
      </c>
      <c r="AD148" s="430">
        <v>6.25</v>
      </c>
      <c r="AE148" s="168"/>
      <c r="AF148" s="173" t="s">
        <v>834</v>
      </c>
      <c r="AG148" s="171" t="s">
        <v>1948</v>
      </c>
      <c r="AH148" s="167" t="s">
        <v>834</v>
      </c>
      <c r="AI148" s="168" t="s">
        <v>1949</v>
      </c>
      <c r="AJ148" s="373">
        <v>6.5</v>
      </c>
      <c r="AK148" s="431" t="s">
        <v>863</v>
      </c>
      <c r="AL148" s="167">
        <v>6</v>
      </c>
      <c r="AM148" s="168" t="s">
        <v>1950</v>
      </c>
      <c r="AN148" s="173">
        <v>5</v>
      </c>
      <c r="AO148" s="171" t="s">
        <v>1951</v>
      </c>
      <c r="AP148" s="475" t="s">
        <v>834</v>
      </c>
      <c r="AQ148" s="377" t="s">
        <v>1952</v>
      </c>
      <c r="AR148" s="173">
        <v>6</v>
      </c>
      <c r="AS148" s="171"/>
      <c r="AT148" s="173" t="s">
        <v>834</v>
      </c>
      <c r="AU148" s="171" t="s">
        <v>1953</v>
      </c>
      <c r="AV148" s="381" t="s">
        <v>834</v>
      </c>
      <c r="AW148" s="168" t="s">
        <v>1954</v>
      </c>
      <c r="AX148" s="443" t="s">
        <v>834</v>
      </c>
      <c r="AY148" s="427" t="s">
        <v>1955</v>
      </c>
      <c r="AZ148" s="167">
        <v>7</v>
      </c>
      <c r="BA148" s="427"/>
      <c r="BB148" s="164">
        <v>4.2249999999999996</v>
      </c>
      <c r="BC148" s="168" t="s">
        <v>1935</v>
      </c>
      <c r="BD148" s="464" t="s">
        <v>546</v>
      </c>
      <c r="BE148" s="427"/>
      <c r="BF148" s="384">
        <v>5.5</v>
      </c>
      <c r="BG148" s="168"/>
      <c r="BH148" s="432" t="s">
        <v>834</v>
      </c>
      <c r="BI148" s="168"/>
      <c r="BJ148" s="167" t="s">
        <v>546</v>
      </c>
      <c r="BK148" s="167"/>
      <c r="BL148" s="373" t="s">
        <v>834</v>
      </c>
      <c r="BM148" s="168" t="s">
        <v>1956</v>
      </c>
      <c r="BN148" s="173">
        <v>5.125</v>
      </c>
      <c r="BO148" s="171"/>
      <c r="BP148" s="435" t="s">
        <v>834</v>
      </c>
      <c r="BQ148" s="436"/>
      <c r="BR148" s="167" t="s">
        <v>834</v>
      </c>
      <c r="BS148" s="168" t="s">
        <v>1957</v>
      </c>
      <c r="BT148" s="167" t="s">
        <v>834</v>
      </c>
      <c r="BU148" s="168" t="s">
        <v>1958</v>
      </c>
      <c r="BV148" s="167" t="s">
        <v>834</v>
      </c>
      <c r="BW148" s="168" t="s">
        <v>1959</v>
      </c>
      <c r="BX148" s="437">
        <v>4.5</v>
      </c>
      <c r="BY148" s="171"/>
      <c r="BZ148" s="432"/>
      <c r="CA148" s="168"/>
      <c r="CB148" s="167">
        <v>6</v>
      </c>
      <c r="CC148" s="168"/>
      <c r="CD148" s="173">
        <v>7</v>
      </c>
      <c r="CE148" s="171"/>
      <c r="CF148" s="167">
        <v>6</v>
      </c>
      <c r="CG148" s="175" t="s">
        <v>1960</v>
      </c>
      <c r="CH148" s="167">
        <v>4.5</v>
      </c>
      <c r="CI148" s="168"/>
      <c r="CJ148" s="167">
        <v>7</v>
      </c>
      <c r="CK148" s="168"/>
      <c r="CL148" s="385">
        <v>6.25</v>
      </c>
      <c r="CM148" s="461" t="s">
        <v>1961</v>
      </c>
      <c r="CN148" s="385" t="s">
        <v>834</v>
      </c>
      <c r="CO148" s="168" t="s">
        <v>1959</v>
      </c>
      <c r="CP148" s="167">
        <v>6</v>
      </c>
      <c r="CQ148" s="168" t="s">
        <v>546</v>
      </c>
      <c r="CR148" s="373" t="s">
        <v>834</v>
      </c>
      <c r="CS148" s="427" t="s">
        <v>1940</v>
      </c>
      <c r="CT148" s="432">
        <v>1.5</v>
      </c>
      <c r="CU148" s="168" t="s">
        <v>840</v>
      </c>
      <c r="CV148" s="432">
        <v>6</v>
      </c>
      <c r="CW148" s="168"/>
      <c r="CX148" s="168">
        <v>5</v>
      </c>
      <c r="CY148" s="168" t="s">
        <v>1962</v>
      </c>
      <c r="CZ148" s="173">
        <v>4</v>
      </c>
      <c r="DA148" s="171" t="s">
        <v>1963</v>
      </c>
      <c r="DB148" s="371" t="s">
        <v>546</v>
      </c>
      <c r="DC148" s="371">
        <f t="shared" si="15"/>
        <v>28</v>
      </c>
      <c r="DD148" s="371"/>
      <c r="DE148" s="371"/>
      <c r="DF148" s="371"/>
      <c r="DG148" s="371"/>
      <c r="DH148" s="371"/>
      <c r="DI148" s="371"/>
      <c r="DJ148" s="371"/>
      <c r="DK148" s="371"/>
      <c r="DL148" s="371"/>
      <c r="DM148" s="371"/>
      <c r="DN148" s="371"/>
      <c r="DO148" s="371"/>
      <c r="DP148" s="371"/>
      <c r="DQ148" s="371"/>
      <c r="DR148" s="371"/>
    </row>
    <row r="149" spans="1:122" ht="18.75" x14ac:dyDescent="0.3">
      <c r="A149" s="325">
        <v>0</v>
      </c>
      <c r="B149" s="326">
        <v>109</v>
      </c>
      <c r="C149" s="327" t="s">
        <v>1964</v>
      </c>
      <c r="D149" s="424">
        <v>4</v>
      </c>
      <c r="E149" s="328"/>
      <c r="F149" s="173" t="s">
        <v>546</v>
      </c>
      <c r="G149" s="173"/>
      <c r="H149" s="373">
        <v>6.5</v>
      </c>
      <c r="I149" s="427"/>
      <c r="J149" s="173" t="s">
        <v>834</v>
      </c>
      <c r="K149" s="371"/>
      <c r="L149" s="426" t="s">
        <v>834</v>
      </c>
      <c r="M149" s="427" t="s">
        <v>1965</v>
      </c>
      <c r="N149" s="173" t="s">
        <v>834</v>
      </c>
      <c r="O149" s="171"/>
      <c r="P149" s="569">
        <v>1</v>
      </c>
      <c r="Q149" s="427" t="s">
        <v>1966</v>
      </c>
      <c r="R149" s="374">
        <v>0.39800000000000002</v>
      </c>
      <c r="S149" s="168" t="s">
        <v>837</v>
      </c>
      <c r="T149" s="428">
        <v>5.75</v>
      </c>
      <c r="U149" s="376"/>
      <c r="V149" s="441" t="s">
        <v>834</v>
      </c>
      <c r="W149" s="377" t="s">
        <v>1967</v>
      </c>
      <c r="X149" s="167">
        <v>4</v>
      </c>
      <c r="Y149" s="168" t="s">
        <v>856</v>
      </c>
      <c r="Z149" s="373">
        <v>4</v>
      </c>
      <c r="AA149" s="168"/>
      <c r="AB149" s="167" t="s">
        <v>834</v>
      </c>
      <c r="AC149" s="168"/>
      <c r="AD149" s="430" t="s">
        <v>834</v>
      </c>
      <c r="AE149" s="168"/>
      <c r="AF149" s="173">
        <v>7</v>
      </c>
      <c r="AG149" s="171"/>
      <c r="AH149" s="167" t="s">
        <v>834</v>
      </c>
      <c r="AI149" s="168"/>
      <c r="AJ149" s="373" t="s">
        <v>834</v>
      </c>
      <c r="AK149" s="431"/>
      <c r="AL149" s="167" t="s">
        <v>834</v>
      </c>
      <c r="AM149" s="168" t="s">
        <v>1968</v>
      </c>
      <c r="AN149" s="173">
        <v>5</v>
      </c>
      <c r="AO149" s="171" t="s">
        <v>1969</v>
      </c>
      <c r="AP149" s="475" t="s">
        <v>834</v>
      </c>
      <c r="AQ149" s="168"/>
      <c r="AR149" s="173" t="s">
        <v>834</v>
      </c>
      <c r="AS149" s="171"/>
      <c r="AT149" s="173" t="s">
        <v>834</v>
      </c>
      <c r="AU149" s="171"/>
      <c r="AV149" s="458">
        <v>6</v>
      </c>
      <c r="AW149" s="168" t="s">
        <v>1970</v>
      </c>
      <c r="AX149" s="443" t="s">
        <v>834</v>
      </c>
      <c r="AY149" s="427" t="s">
        <v>1971</v>
      </c>
      <c r="AZ149" s="167">
        <v>7</v>
      </c>
      <c r="BA149" s="427"/>
      <c r="BB149" s="164" t="s">
        <v>834</v>
      </c>
      <c r="BC149" s="168"/>
      <c r="BD149" s="464"/>
      <c r="BE149" s="427"/>
      <c r="BF149" s="384">
        <v>5.5</v>
      </c>
      <c r="BG149" s="168"/>
      <c r="BH149" s="432" t="s">
        <v>834</v>
      </c>
      <c r="BI149" s="168"/>
      <c r="BJ149" s="167"/>
      <c r="BK149" s="167"/>
      <c r="BL149" s="167" t="s">
        <v>834</v>
      </c>
      <c r="BM149" s="168" t="s">
        <v>1972</v>
      </c>
      <c r="BN149" s="173">
        <v>5.125</v>
      </c>
      <c r="BO149" s="171"/>
      <c r="BP149" s="435" t="s">
        <v>834</v>
      </c>
      <c r="BQ149" s="436"/>
      <c r="BR149" s="167" t="s">
        <v>834</v>
      </c>
      <c r="BS149" s="168" t="s">
        <v>1957</v>
      </c>
      <c r="BT149" s="167" t="s">
        <v>834</v>
      </c>
      <c r="BU149" s="168"/>
      <c r="BV149" s="373" t="s">
        <v>834</v>
      </c>
      <c r="BW149" s="168" t="s">
        <v>1973</v>
      </c>
      <c r="BX149" s="437" t="s">
        <v>834</v>
      </c>
      <c r="BY149" s="171"/>
      <c r="BZ149" s="432"/>
      <c r="CA149" s="168"/>
      <c r="CB149" s="167" t="s">
        <v>834</v>
      </c>
      <c r="CC149" s="168" t="s">
        <v>1974</v>
      </c>
      <c r="CD149" s="173" t="s">
        <v>834</v>
      </c>
      <c r="CE149" s="171"/>
      <c r="CF149" s="167">
        <v>6</v>
      </c>
      <c r="CG149" s="175" t="s">
        <v>1960</v>
      </c>
      <c r="CH149" s="167">
        <v>4.5</v>
      </c>
      <c r="CI149" s="168"/>
      <c r="CJ149" s="167">
        <v>7</v>
      </c>
      <c r="CK149" s="168"/>
      <c r="CL149" s="385">
        <v>6.25</v>
      </c>
      <c r="CM149" s="168" t="s">
        <v>546</v>
      </c>
      <c r="CN149" s="385" t="s">
        <v>834</v>
      </c>
      <c r="CO149" s="168"/>
      <c r="CP149" s="167" t="s">
        <v>834</v>
      </c>
      <c r="CQ149" s="168"/>
      <c r="CR149" s="373" t="s">
        <v>834</v>
      </c>
      <c r="CS149" s="427" t="s">
        <v>546</v>
      </c>
      <c r="CT149" s="432">
        <v>6.5</v>
      </c>
      <c r="CU149" s="168" t="s">
        <v>1975</v>
      </c>
      <c r="CV149" s="432">
        <v>6</v>
      </c>
      <c r="CW149" s="168"/>
      <c r="CX149" s="168" t="s">
        <v>834</v>
      </c>
      <c r="CY149" s="168" t="s">
        <v>1976</v>
      </c>
      <c r="CZ149" s="173">
        <v>4</v>
      </c>
      <c r="DA149" s="171" t="s">
        <v>1977</v>
      </c>
      <c r="DB149" s="371" t="s">
        <v>546</v>
      </c>
      <c r="DC149" s="371">
        <f t="shared" si="15"/>
        <v>20</v>
      </c>
      <c r="DD149" s="371"/>
      <c r="DE149" s="371"/>
      <c r="DF149" s="371"/>
      <c r="DG149" s="371"/>
      <c r="DH149" s="371"/>
      <c r="DI149" s="371"/>
      <c r="DJ149" s="371"/>
      <c r="DK149" s="371"/>
      <c r="DL149" s="371"/>
      <c r="DM149" s="371"/>
      <c r="DN149" s="371"/>
      <c r="DO149" s="371"/>
      <c r="DP149" s="371"/>
      <c r="DQ149" s="371"/>
      <c r="DR149" s="371"/>
    </row>
    <row r="150" spans="1:122" ht="18.75" x14ac:dyDescent="0.3">
      <c r="A150" s="325">
        <v>541511</v>
      </c>
      <c r="B150" s="326">
        <v>110</v>
      </c>
      <c r="C150" s="327" t="s">
        <v>1978</v>
      </c>
      <c r="D150" s="424" t="s">
        <v>834</v>
      </c>
      <c r="E150" s="328"/>
      <c r="F150" s="173" t="s">
        <v>546</v>
      </c>
      <c r="G150" s="173"/>
      <c r="H150" s="373" t="s">
        <v>834</v>
      </c>
      <c r="I150" s="427" t="s">
        <v>1979</v>
      </c>
      <c r="J150" s="173" t="s">
        <v>834</v>
      </c>
      <c r="K150" s="371"/>
      <c r="L150" s="426" t="s">
        <v>834</v>
      </c>
      <c r="M150" s="427"/>
      <c r="N150" s="173" t="s">
        <v>834</v>
      </c>
      <c r="O150" s="171"/>
      <c r="P150" s="569">
        <v>1</v>
      </c>
      <c r="Q150" s="427"/>
      <c r="R150" s="374">
        <v>0.39800000000000002</v>
      </c>
      <c r="S150" s="168" t="s">
        <v>837</v>
      </c>
      <c r="T150" s="428">
        <v>5.75</v>
      </c>
      <c r="U150" s="376" t="s">
        <v>546</v>
      </c>
      <c r="V150" s="441" t="s">
        <v>834</v>
      </c>
      <c r="W150" s="377" t="s">
        <v>1980</v>
      </c>
      <c r="X150" s="167" t="s">
        <v>834</v>
      </c>
      <c r="Y150" s="168" t="s">
        <v>856</v>
      </c>
      <c r="Z150" s="373">
        <v>4</v>
      </c>
      <c r="AA150" s="168" t="s">
        <v>1946</v>
      </c>
      <c r="AB150" s="167" t="s">
        <v>834</v>
      </c>
      <c r="AC150" s="168"/>
      <c r="AD150" s="430" t="s">
        <v>834</v>
      </c>
      <c r="AE150" s="168"/>
      <c r="AF150" s="173" t="s">
        <v>834</v>
      </c>
      <c r="AG150" s="171"/>
      <c r="AH150" s="167" t="s">
        <v>834</v>
      </c>
      <c r="AI150" s="168"/>
      <c r="AJ150" s="373" t="s">
        <v>834</v>
      </c>
      <c r="AK150" s="431"/>
      <c r="AL150" s="167" t="s">
        <v>834</v>
      </c>
      <c r="AM150" s="168" t="s">
        <v>1968</v>
      </c>
      <c r="AN150" s="173">
        <v>5</v>
      </c>
      <c r="AO150" s="171" t="s">
        <v>1969</v>
      </c>
      <c r="AP150" s="475" t="s">
        <v>834</v>
      </c>
      <c r="AQ150" s="168"/>
      <c r="AR150" s="173" t="s">
        <v>834</v>
      </c>
      <c r="AS150" s="171"/>
      <c r="AT150" s="173" t="s">
        <v>834</v>
      </c>
      <c r="AU150" s="171"/>
      <c r="AV150" s="381" t="s">
        <v>834</v>
      </c>
      <c r="AW150" s="168"/>
      <c r="AX150" s="443" t="s">
        <v>834</v>
      </c>
      <c r="AY150" s="427"/>
      <c r="AZ150" s="167">
        <v>7</v>
      </c>
      <c r="BA150" s="427"/>
      <c r="BB150" s="164" t="s">
        <v>834</v>
      </c>
      <c r="BC150" s="168"/>
      <c r="BD150" s="464" t="s">
        <v>546</v>
      </c>
      <c r="BE150" s="427"/>
      <c r="BF150" s="382">
        <v>5.5</v>
      </c>
      <c r="BG150" s="168" t="s">
        <v>1981</v>
      </c>
      <c r="BH150" s="432" t="s">
        <v>834</v>
      </c>
      <c r="BI150" s="168"/>
      <c r="BJ150" s="167"/>
      <c r="BK150" s="167"/>
      <c r="BL150" s="167" t="s">
        <v>834</v>
      </c>
      <c r="BM150" s="168" t="s">
        <v>1972</v>
      </c>
      <c r="BN150" s="173">
        <v>5.125</v>
      </c>
      <c r="BO150" s="171"/>
      <c r="BP150" s="435" t="s">
        <v>834</v>
      </c>
      <c r="BQ150" s="436"/>
      <c r="BR150" s="167" t="s">
        <v>834</v>
      </c>
      <c r="BS150" s="168" t="s">
        <v>1982</v>
      </c>
      <c r="BT150" s="167" t="s">
        <v>834</v>
      </c>
      <c r="BU150" s="168"/>
      <c r="BV150" s="167" t="s">
        <v>834</v>
      </c>
      <c r="BW150" s="168" t="s">
        <v>1983</v>
      </c>
      <c r="BX150" s="437" t="s">
        <v>834</v>
      </c>
      <c r="BY150" s="171"/>
      <c r="BZ150" s="432"/>
      <c r="CA150" s="168"/>
      <c r="CB150" s="167" t="s">
        <v>834</v>
      </c>
      <c r="CC150" s="168"/>
      <c r="CD150" s="173" t="s">
        <v>834</v>
      </c>
      <c r="CE150" s="171"/>
      <c r="CF150" s="167">
        <v>6</v>
      </c>
      <c r="CG150" s="175" t="s">
        <v>1960</v>
      </c>
      <c r="CH150" s="167">
        <v>4.5</v>
      </c>
      <c r="CI150" s="168"/>
      <c r="CJ150" s="373">
        <v>7</v>
      </c>
      <c r="CK150" s="444" t="s">
        <v>1984</v>
      </c>
      <c r="CL150" s="445">
        <v>6.25</v>
      </c>
      <c r="CM150" s="461" t="s">
        <v>1985</v>
      </c>
      <c r="CN150" s="385" t="s">
        <v>834</v>
      </c>
      <c r="CO150" s="168"/>
      <c r="CP150" s="167" t="s">
        <v>834</v>
      </c>
      <c r="CQ150" s="168"/>
      <c r="CR150" s="373" t="s">
        <v>834</v>
      </c>
      <c r="CS150" s="427" t="s">
        <v>1940</v>
      </c>
      <c r="CT150" s="455">
        <v>1.5</v>
      </c>
      <c r="CU150" s="168" t="s">
        <v>840</v>
      </c>
      <c r="CV150" s="442">
        <v>6</v>
      </c>
      <c r="CW150" s="168" t="s">
        <v>1986</v>
      </c>
      <c r="CX150" s="168" t="s">
        <v>834</v>
      </c>
      <c r="CY150" s="168"/>
      <c r="CZ150" s="173" t="s">
        <v>834</v>
      </c>
      <c r="DA150" s="171" t="s">
        <v>1987</v>
      </c>
      <c r="DB150" s="371" t="s">
        <v>546</v>
      </c>
      <c r="DC150" s="371">
        <f t="shared" si="15"/>
        <v>14</v>
      </c>
      <c r="DD150" s="371"/>
      <c r="DE150" s="371"/>
      <c r="DF150" s="371"/>
      <c r="DG150" s="371"/>
      <c r="DH150" s="371"/>
      <c r="DI150" s="371"/>
      <c r="DJ150" s="371"/>
      <c r="DK150" s="371"/>
      <c r="DL150" s="371"/>
      <c r="DM150" s="371"/>
      <c r="DN150" s="371"/>
      <c r="DO150" s="371"/>
      <c r="DP150" s="371"/>
      <c r="DQ150" s="371"/>
      <c r="DR150" s="371"/>
    </row>
    <row r="151" spans="1:122" ht="409.5" x14ac:dyDescent="0.3">
      <c r="A151" s="325">
        <v>517919</v>
      </c>
      <c r="B151" s="326">
        <v>111</v>
      </c>
      <c r="C151" s="327" t="s">
        <v>1988</v>
      </c>
      <c r="D151" s="424" t="s">
        <v>834</v>
      </c>
      <c r="E151" s="328" t="s">
        <v>1989</v>
      </c>
      <c r="F151" s="173" t="s">
        <v>546</v>
      </c>
      <c r="G151" s="173"/>
      <c r="H151" s="373" t="s">
        <v>834</v>
      </c>
      <c r="I151" s="427"/>
      <c r="J151" s="173" t="s">
        <v>834</v>
      </c>
      <c r="K151" s="371"/>
      <c r="L151" s="426" t="s">
        <v>834</v>
      </c>
      <c r="M151" s="427"/>
      <c r="N151" s="173" t="s">
        <v>834</v>
      </c>
      <c r="O151" s="171"/>
      <c r="P151" s="569" t="s">
        <v>834</v>
      </c>
      <c r="Q151" s="427"/>
      <c r="R151" s="374" t="s">
        <v>834</v>
      </c>
      <c r="S151" s="168"/>
      <c r="T151" s="469" t="s">
        <v>834</v>
      </c>
      <c r="U151" s="570" t="s">
        <v>1990</v>
      </c>
      <c r="V151" s="441" t="s">
        <v>505</v>
      </c>
      <c r="W151" s="377"/>
      <c r="X151" s="167" t="s">
        <v>834</v>
      </c>
      <c r="Y151" s="168" t="s">
        <v>856</v>
      </c>
      <c r="Z151" s="167">
        <v>4</v>
      </c>
      <c r="AA151" s="168" t="s">
        <v>1991</v>
      </c>
      <c r="AB151" s="167" t="s">
        <v>834</v>
      </c>
      <c r="AC151" s="168"/>
      <c r="AD151" s="430" t="s">
        <v>834</v>
      </c>
      <c r="AE151" s="168"/>
      <c r="AF151" s="173" t="s">
        <v>834</v>
      </c>
      <c r="AG151" s="171"/>
      <c r="AH151" s="167" t="s">
        <v>834</v>
      </c>
      <c r="AI151" s="168"/>
      <c r="AJ151" s="373" t="s">
        <v>834</v>
      </c>
      <c r="AK151" s="431"/>
      <c r="AL151" s="167" t="s">
        <v>834</v>
      </c>
      <c r="AM151" s="168"/>
      <c r="AN151" s="173" t="s">
        <v>834</v>
      </c>
      <c r="AO151" s="171"/>
      <c r="AP151" s="475" t="s">
        <v>834</v>
      </c>
      <c r="AQ151" s="168"/>
      <c r="AR151" s="173" t="s">
        <v>834</v>
      </c>
      <c r="AS151" s="171"/>
      <c r="AT151" s="173" t="s">
        <v>834</v>
      </c>
      <c r="AU151" s="171" t="s">
        <v>1992</v>
      </c>
      <c r="AV151" s="381" t="s">
        <v>834</v>
      </c>
      <c r="AW151" s="168"/>
      <c r="AX151" s="443" t="s">
        <v>834</v>
      </c>
      <c r="AY151" s="427" t="s">
        <v>1993</v>
      </c>
      <c r="AZ151" s="429" t="s">
        <v>834</v>
      </c>
      <c r="BA151" s="427"/>
      <c r="BB151" s="164" t="s">
        <v>834</v>
      </c>
      <c r="BC151" s="168"/>
      <c r="BD151" s="464"/>
      <c r="BE151" s="427"/>
      <c r="BF151" s="384" t="s">
        <v>834</v>
      </c>
      <c r="BG151" s="168"/>
      <c r="BH151" s="432" t="s">
        <v>834</v>
      </c>
      <c r="BI151" s="168"/>
      <c r="BJ151" s="373"/>
      <c r="BK151" s="168"/>
      <c r="BL151" s="167" t="s">
        <v>834</v>
      </c>
      <c r="BM151" s="168" t="s">
        <v>1994</v>
      </c>
      <c r="BN151" s="173">
        <v>5.125</v>
      </c>
      <c r="BO151" s="171"/>
      <c r="BP151" s="435" t="s">
        <v>834</v>
      </c>
      <c r="BQ151" s="436"/>
      <c r="BR151" s="167" t="s">
        <v>834</v>
      </c>
      <c r="BS151" s="168"/>
      <c r="BT151" s="167">
        <v>5</v>
      </c>
      <c r="BU151" s="168" t="s">
        <v>1995</v>
      </c>
      <c r="BV151" s="429">
        <v>5.75</v>
      </c>
      <c r="BW151" s="168" t="s">
        <v>1996</v>
      </c>
      <c r="BX151" s="437" t="s">
        <v>834</v>
      </c>
      <c r="BY151" s="171"/>
      <c r="BZ151" s="432"/>
      <c r="CA151" s="168"/>
      <c r="CB151" s="167" t="s">
        <v>834</v>
      </c>
      <c r="CC151" s="168"/>
      <c r="CD151" s="173" t="s">
        <v>834</v>
      </c>
      <c r="CE151" s="171"/>
      <c r="CF151" s="167" t="s">
        <v>834</v>
      </c>
      <c r="CG151" s="175" t="s">
        <v>1997</v>
      </c>
      <c r="CH151" s="167">
        <v>4.5</v>
      </c>
      <c r="CI151" s="168"/>
      <c r="CJ151" s="373" t="s">
        <v>834</v>
      </c>
      <c r="CK151" s="444"/>
      <c r="CL151" s="385">
        <v>6.25</v>
      </c>
      <c r="CM151" s="168" t="s">
        <v>1998</v>
      </c>
      <c r="CN151" s="385" t="s">
        <v>834</v>
      </c>
      <c r="CO151" s="168"/>
      <c r="CP151" s="167" t="s">
        <v>834</v>
      </c>
      <c r="CQ151" s="168"/>
      <c r="CR151" s="373" t="s">
        <v>834</v>
      </c>
      <c r="CS151" s="427"/>
      <c r="CT151" s="455">
        <v>6.5</v>
      </c>
      <c r="CU151" s="168" t="s">
        <v>938</v>
      </c>
      <c r="CV151" s="432" t="s">
        <v>834</v>
      </c>
      <c r="CW151" s="168"/>
      <c r="CX151" s="168">
        <v>5</v>
      </c>
      <c r="CY151" s="168" t="s">
        <v>1999</v>
      </c>
      <c r="CZ151" s="173" t="s">
        <v>834</v>
      </c>
      <c r="DA151" s="171" t="s">
        <v>2000</v>
      </c>
      <c r="DB151" s="371" t="s">
        <v>546</v>
      </c>
      <c r="DC151" s="371">
        <f t="shared" si="15"/>
        <v>8</v>
      </c>
      <c r="DD151" s="371"/>
      <c r="DE151" s="371"/>
      <c r="DF151" s="371"/>
      <c r="DG151" s="371"/>
      <c r="DH151" s="371"/>
      <c r="DI151" s="371"/>
      <c r="DJ151" s="371"/>
      <c r="DK151" s="371"/>
      <c r="DL151" s="371"/>
      <c r="DM151" s="371"/>
      <c r="DN151" s="371"/>
      <c r="DO151" s="371"/>
      <c r="DP151" s="371"/>
      <c r="DQ151" s="371"/>
      <c r="DR151" s="371"/>
    </row>
    <row r="152" spans="1:122" ht="409.5" x14ac:dyDescent="0.3">
      <c r="A152" s="325">
        <v>517110</v>
      </c>
      <c r="B152" s="326">
        <v>112</v>
      </c>
      <c r="C152" s="327" t="s">
        <v>2001</v>
      </c>
      <c r="D152" s="424">
        <v>6</v>
      </c>
      <c r="E152" s="328" t="s">
        <v>2002</v>
      </c>
      <c r="F152" s="173" t="s">
        <v>546</v>
      </c>
      <c r="G152" s="173"/>
      <c r="H152" s="373" t="s">
        <v>834</v>
      </c>
      <c r="I152" s="427"/>
      <c r="J152" s="173" t="s">
        <v>834</v>
      </c>
      <c r="K152" s="371"/>
      <c r="L152" s="426" t="s">
        <v>834</v>
      </c>
      <c r="M152" s="427"/>
      <c r="N152" s="173" t="s">
        <v>834</v>
      </c>
      <c r="O152" s="171"/>
      <c r="P152" s="569" t="s">
        <v>834</v>
      </c>
      <c r="Q152" s="427"/>
      <c r="R152" s="374" t="s">
        <v>834</v>
      </c>
      <c r="S152" s="168"/>
      <c r="T152" s="469" t="s">
        <v>834</v>
      </c>
      <c r="U152" s="570" t="s">
        <v>1990</v>
      </c>
      <c r="V152" s="441" t="s">
        <v>505</v>
      </c>
      <c r="W152" s="377"/>
      <c r="X152" s="167" t="s">
        <v>834</v>
      </c>
      <c r="Y152" s="168" t="s">
        <v>856</v>
      </c>
      <c r="Z152" s="167">
        <v>4</v>
      </c>
      <c r="AA152" s="168" t="s">
        <v>1991</v>
      </c>
      <c r="AB152" s="167" t="s">
        <v>834</v>
      </c>
      <c r="AC152" s="168"/>
      <c r="AD152" s="430" t="s">
        <v>834</v>
      </c>
      <c r="AE152" s="168"/>
      <c r="AF152" s="173" t="s">
        <v>834</v>
      </c>
      <c r="AG152" s="171"/>
      <c r="AH152" s="167" t="s">
        <v>834</v>
      </c>
      <c r="AI152" s="168"/>
      <c r="AJ152" s="373" t="s">
        <v>834</v>
      </c>
      <c r="AK152" s="431"/>
      <c r="AL152" s="167" t="s">
        <v>834</v>
      </c>
      <c r="AM152" s="168"/>
      <c r="AN152" s="173" t="s">
        <v>834</v>
      </c>
      <c r="AO152" s="171"/>
      <c r="AP152" s="475" t="s">
        <v>834</v>
      </c>
      <c r="AQ152" s="168"/>
      <c r="AR152" s="173" t="s">
        <v>834</v>
      </c>
      <c r="AS152" s="171"/>
      <c r="AT152" s="173" t="s">
        <v>834</v>
      </c>
      <c r="AU152" s="171" t="s">
        <v>1992</v>
      </c>
      <c r="AV152" s="381" t="s">
        <v>834</v>
      </c>
      <c r="AW152" s="168"/>
      <c r="AX152" s="443" t="s">
        <v>834</v>
      </c>
      <c r="AY152" s="427" t="s">
        <v>1993</v>
      </c>
      <c r="AZ152" s="429" t="s">
        <v>834</v>
      </c>
      <c r="BA152" s="427"/>
      <c r="BB152" s="164" t="s">
        <v>834</v>
      </c>
      <c r="BC152" s="168"/>
      <c r="BD152" s="464"/>
      <c r="BE152" s="427"/>
      <c r="BF152" s="384" t="s">
        <v>834</v>
      </c>
      <c r="BG152" s="168"/>
      <c r="BH152" s="432" t="s">
        <v>834</v>
      </c>
      <c r="BI152" s="168"/>
      <c r="BJ152" s="373"/>
      <c r="BK152" s="168"/>
      <c r="BL152" s="167" t="s">
        <v>834</v>
      </c>
      <c r="BM152" s="168" t="s">
        <v>1994</v>
      </c>
      <c r="BN152" s="173">
        <v>5.125</v>
      </c>
      <c r="BO152" s="171" t="s">
        <v>2003</v>
      </c>
      <c r="BP152" s="435" t="s">
        <v>834</v>
      </c>
      <c r="BQ152" s="436"/>
      <c r="BR152" s="167" t="s">
        <v>834</v>
      </c>
      <c r="BS152" s="168"/>
      <c r="BT152" s="167">
        <v>5</v>
      </c>
      <c r="BU152" s="168" t="s">
        <v>2004</v>
      </c>
      <c r="BV152" s="429">
        <v>5.75</v>
      </c>
      <c r="BW152" s="168" t="s">
        <v>1996</v>
      </c>
      <c r="BX152" s="437" t="s">
        <v>834</v>
      </c>
      <c r="BY152" s="171"/>
      <c r="BZ152" s="432"/>
      <c r="CA152" s="168"/>
      <c r="CB152" s="167" t="s">
        <v>834</v>
      </c>
      <c r="CC152" s="168" t="s">
        <v>2005</v>
      </c>
      <c r="CD152" s="173" t="s">
        <v>834</v>
      </c>
      <c r="CE152" s="171" t="s">
        <v>2006</v>
      </c>
      <c r="CF152" s="167" t="s">
        <v>834</v>
      </c>
      <c r="CG152" s="175" t="s">
        <v>2007</v>
      </c>
      <c r="CH152" s="167">
        <v>4.5</v>
      </c>
      <c r="CI152" s="168"/>
      <c r="CJ152" s="373" t="s">
        <v>834</v>
      </c>
      <c r="CK152" s="444"/>
      <c r="CL152" s="385">
        <v>6.25</v>
      </c>
      <c r="CM152" s="168" t="s">
        <v>1998</v>
      </c>
      <c r="CN152" s="385" t="s">
        <v>834</v>
      </c>
      <c r="CO152" s="168"/>
      <c r="CP152" s="167" t="s">
        <v>834</v>
      </c>
      <c r="CQ152" s="168"/>
      <c r="CR152" s="373" t="s">
        <v>834</v>
      </c>
      <c r="CS152" s="427"/>
      <c r="CT152" s="455">
        <v>6.5</v>
      </c>
      <c r="CU152" s="168" t="s">
        <v>938</v>
      </c>
      <c r="CV152" s="432" t="s">
        <v>834</v>
      </c>
      <c r="CW152" s="168"/>
      <c r="CX152" s="168">
        <v>5</v>
      </c>
      <c r="CY152" s="168" t="s">
        <v>1999</v>
      </c>
      <c r="CZ152" s="173" t="s">
        <v>834</v>
      </c>
      <c r="DA152" s="171" t="s">
        <v>2000</v>
      </c>
      <c r="DB152" s="371" t="s">
        <v>546</v>
      </c>
      <c r="DC152" s="371">
        <f t="shared" si="15"/>
        <v>9</v>
      </c>
      <c r="DD152" s="371"/>
      <c r="DE152" s="371"/>
      <c r="DF152" s="371"/>
      <c r="DG152" s="371"/>
      <c r="DH152" s="371"/>
      <c r="DI152" s="371"/>
      <c r="DJ152" s="371"/>
      <c r="DK152" s="371"/>
      <c r="DL152" s="371"/>
      <c r="DM152" s="371"/>
      <c r="DN152" s="371"/>
      <c r="DO152" s="371"/>
      <c r="DP152" s="371"/>
      <c r="DQ152" s="371"/>
      <c r="DR152" s="371"/>
    </row>
    <row r="153" spans="1:122" ht="18.75" x14ac:dyDescent="0.3">
      <c r="A153" s="325">
        <v>519190</v>
      </c>
      <c r="B153" s="326">
        <v>113</v>
      </c>
      <c r="C153" s="327" t="s">
        <v>2008</v>
      </c>
      <c r="D153" s="424" t="s">
        <v>834</v>
      </c>
      <c r="E153" s="328"/>
      <c r="F153" s="173"/>
      <c r="G153" s="173"/>
      <c r="H153" s="373" t="s">
        <v>834</v>
      </c>
      <c r="I153" s="427"/>
      <c r="J153" s="173" t="s">
        <v>834</v>
      </c>
      <c r="K153" s="371" t="s">
        <v>2009</v>
      </c>
      <c r="L153" s="426" t="s">
        <v>834</v>
      </c>
      <c r="M153" s="427"/>
      <c r="N153" s="173" t="s">
        <v>834</v>
      </c>
      <c r="O153" s="171"/>
      <c r="P153" s="569">
        <v>1</v>
      </c>
      <c r="Q153" s="427"/>
      <c r="R153" s="374">
        <v>0.39800000000000002</v>
      </c>
      <c r="S153" s="168" t="s">
        <v>837</v>
      </c>
      <c r="T153" s="428">
        <v>5.75</v>
      </c>
      <c r="U153" s="376"/>
      <c r="V153" s="441" t="s">
        <v>834</v>
      </c>
      <c r="W153" s="377" t="s">
        <v>2010</v>
      </c>
      <c r="X153" s="167" t="s">
        <v>834</v>
      </c>
      <c r="Y153" s="168" t="s">
        <v>856</v>
      </c>
      <c r="Z153" s="167">
        <v>4</v>
      </c>
      <c r="AA153" s="168"/>
      <c r="AB153" s="167" t="s">
        <v>834</v>
      </c>
      <c r="AC153" s="168"/>
      <c r="AD153" s="430" t="s">
        <v>834</v>
      </c>
      <c r="AE153" s="168"/>
      <c r="AF153" s="173" t="s">
        <v>834</v>
      </c>
      <c r="AG153" s="171"/>
      <c r="AH153" s="167" t="s">
        <v>834</v>
      </c>
      <c r="AI153" s="168"/>
      <c r="AJ153" s="373" t="s">
        <v>834</v>
      </c>
      <c r="AK153" s="431"/>
      <c r="AL153" s="167" t="s">
        <v>834</v>
      </c>
      <c r="AM153" s="168"/>
      <c r="AN153" s="173" t="s">
        <v>834</v>
      </c>
      <c r="AO153" s="171"/>
      <c r="AP153" s="432" t="s">
        <v>834</v>
      </c>
      <c r="AQ153" s="168"/>
      <c r="AR153" s="173" t="s">
        <v>834</v>
      </c>
      <c r="AS153" s="171"/>
      <c r="AT153" s="173" t="s">
        <v>834</v>
      </c>
      <c r="AU153" s="171"/>
      <c r="AV153" s="381" t="s">
        <v>834</v>
      </c>
      <c r="AW153" s="167"/>
      <c r="AX153" s="433" t="s">
        <v>834</v>
      </c>
      <c r="AY153" s="427"/>
      <c r="AZ153" s="167" t="s">
        <v>834</v>
      </c>
      <c r="BA153" s="462" t="s">
        <v>2011</v>
      </c>
      <c r="BB153" s="164" t="s">
        <v>834</v>
      </c>
      <c r="BC153" s="167"/>
      <c r="BD153" s="464"/>
      <c r="BE153" s="427"/>
      <c r="BF153" s="384" t="s">
        <v>834</v>
      </c>
      <c r="BG153" s="168"/>
      <c r="BH153" s="432" t="s">
        <v>834</v>
      </c>
      <c r="BI153" s="167"/>
      <c r="BJ153" s="167"/>
      <c r="BK153" s="167"/>
      <c r="BL153" s="167">
        <v>6.875</v>
      </c>
      <c r="BM153" s="483"/>
      <c r="BN153" s="173">
        <v>5.125</v>
      </c>
      <c r="BO153" s="171"/>
      <c r="BP153" s="435">
        <v>4</v>
      </c>
      <c r="BQ153" s="436" t="s">
        <v>546</v>
      </c>
      <c r="BR153" s="167" t="s">
        <v>834</v>
      </c>
      <c r="BS153" s="167"/>
      <c r="BT153" s="167" t="s">
        <v>834</v>
      </c>
      <c r="BU153" s="167"/>
      <c r="BV153" s="429">
        <v>5.75</v>
      </c>
      <c r="BW153" s="168" t="s">
        <v>1996</v>
      </c>
      <c r="BX153" s="437" t="s">
        <v>834</v>
      </c>
      <c r="BY153" s="171"/>
      <c r="BZ153" s="432"/>
      <c r="CA153" s="168"/>
      <c r="CB153" s="167">
        <v>6</v>
      </c>
      <c r="CC153" s="167"/>
      <c r="CD153" s="173" t="s">
        <v>834</v>
      </c>
      <c r="CE153" s="171"/>
      <c r="CF153" s="373">
        <v>6</v>
      </c>
      <c r="CG153" s="175" t="s">
        <v>2012</v>
      </c>
      <c r="CH153" s="167">
        <v>4.5</v>
      </c>
      <c r="CI153" s="168"/>
      <c r="CJ153" s="167" t="s">
        <v>834</v>
      </c>
      <c r="CK153" s="168"/>
      <c r="CL153" s="385">
        <v>6.25</v>
      </c>
      <c r="CM153" s="168" t="s">
        <v>2013</v>
      </c>
      <c r="CN153" s="385" t="s">
        <v>834</v>
      </c>
      <c r="CO153" s="167"/>
      <c r="CP153" s="167" t="s">
        <v>834</v>
      </c>
      <c r="CQ153" s="167"/>
      <c r="CR153" s="373" t="s">
        <v>834</v>
      </c>
      <c r="CS153" s="373"/>
      <c r="CT153" s="455">
        <v>1.5</v>
      </c>
      <c r="CU153" s="168" t="s">
        <v>840</v>
      </c>
      <c r="CV153" s="432">
        <v>6</v>
      </c>
      <c r="CW153" s="168"/>
      <c r="CX153" s="168" t="s">
        <v>834</v>
      </c>
      <c r="CY153" s="168" t="s">
        <v>2014</v>
      </c>
      <c r="CZ153" s="173">
        <v>4</v>
      </c>
      <c r="DA153" s="171" t="s">
        <v>2015</v>
      </c>
      <c r="DB153" s="371" t="s">
        <v>546</v>
      </c>
      <c r="DC153" s="371">
        <f t="shared" si="15"/>
        <v>15</v>
      </c>
      <c r="DD153" s="371"/>
      <c r="DE153" s="371"/>
      <c r="DF153" s="371"/>
      <c r="DG153" s="371"/>
      <c r="DH153" s="371"/>
      <c r="DI153" s="371"/>
      <c r="DJ153" s="371"/>
      <c r="DK153" s="371"/>
      <c r="DL153" s="371"/>
      <c r="DM153" s="371"/>
      <c r="DN153" s="371"/>
      <c r="DO153" s="371"/>
      <c r="DP153" s="371"/>
      <c r="DQ153" s="371"/>
      <c r="DR153" s="371"/>
    </row>
    <row r="154" spans="1:122" ht="18.75" x14ac:dyDescent="0.3">
      <c r="A154" s="325">
        <v>518210</v>
      </c>
      <c r="B154" s="326">
        <v>114</v>
      </c>
      <c r="C154" s="327" t="s">
        <v>2016</v>
      </c>
      <c r="D154" s="424" t="s">
        <v>834</v>
      </c>
      <c r="E154" s="328"/>
      <c r="F154" s="173"/>
      <c r="G154" s="173"/>
      <c r="H154" s="373" t="s">
        <v>834</v>
      </c>
      <c r="I154" s="427"/>
      <c r="J154" s="173" t="s">
        <v>834</v>
      </c>
      <c r="K154" s="371" t="s">
        <v>2009</v>
      </c>
      <c r="L154" s="426" t="s">
        <v>834</v>
      </c>
      <c r="M154" s="427" t="s">
        <v>2017</v>
      </c>
      <c r="N154" s="173" t="s">
        <v>834</v>
      </c>
      <c r="O154" s="171"/>
      <c r="P154" s="569">
        <v>1</v>
      </c>
      <c r="Q154" s="427"/>
      <c r="R154" s="374">
        <v>0.39800000000000002</v>
      </c>
      <c r="S154" s="168" t="s">
        <v>837</v>
      </c>
      <c r="T154" s="428">
        <v>5.75</v>
      </c>
      <c r="U154" s="376"/>
      <c r="V154" s="441" t="s">
        <v>834</v>
      </c>
      <c r="W154" s="377" t="s">
        <v>992</v>
      </c>
      <c r="X154" s="167" t="s">
        <v>834</v>
      </c>
      <c r="Y154" s="168" t="s">
        <v>856</v>
      </c>
      <c r="Z154" s="167">
        <v>4</v>
      </c>
      <c r="AA154" s="168"/>
      <c r="AB154" s="167" t="s">
        <v>834</v>
      </c>
      <c r="AC154" s="168"/>
      <c r="AD154" s="430" t="s">
        <v>834</v>
      </c>
      <c r="AE154" s="168"/>
      <c r="AF154" s="173" t="s">
        <v>834</v>
      </c>
      <c r="AG154" s="171"/>
      <c r="AH154" s="167" t="s">
        <v>834</v>
      </c>
      <c r="AI154" s="168"/>
      <c r="AJ154" s="373" t="s">
        <v>834</v>
      </c>
      <c r="AK154" s="431"/>
      <c r="AL154" s="167" t="s">
        <v>834</v>
      </c>
      <c r="AM154" s="168" t="s">
        <v>2018</v>
      </c>
      <c r="AN154" s="173" t="s">
        <v>834</v>
      </c>
      <c r="AO154" s="171"/>
      <c r="AP154" s="432" t="s">
        <v>834</v>
      </c>
      <c r="AQ154" s="168"/>
      <c r="AR154" s="173" t="s">
        <v>834</v>
      </c>
      <c r="AS154" s="171"/>
      <c r="AT154" s="173" t="s">
        <v>834</v>
      </c>
      <c r="AU154" s="171"/>
      <c r="AV154" s="381" t="s">
        <v>834</v>
      </c>
      <c r="AW154" s="167"/>
      <c r="AX154" s="433" t="s">
        <v>834</v>
      </c>
      <c r="AY154" s="427"/>
      <c r="AZ154" s="167" t="s">
        <v>834</v>
      </c>
      <c r="BA154" s="427"/>
      <c r="BB154" s="164" t="s">
        <v>834</v>
      </c>
      <c r="BC154" s="167"/>
      <c r="BD154" s="464"/>
      <c r="BE154" s="427"/>
      <c r="BF154" s="384" t="s">
        <v>834</v>
      </c>
      <c r="BG154" s="168"/>
      <c r="BH154" s="432" t="s">
        <v>834</v>
      </c>
      <c r="BI154" s="167"/>
      <c r="BJ154" s="167"/>
      <c r="BK154" s="167"/>
      <c r="BL154" s="167" t="s">
        <v>834</v>
      </c>
      <c r="BM154" s="167"/>
      <c r="BN154" s="173">
        <v>5.125</v>
      </c>
      <c r="BO154" s="171"/>
      <c r="BP154" s="435" t="s">
        <v>834</v>
      </c>
      <c r="BQ154" s="436"/>
      <c r="BR154" s="167" t="s">
        <v>834</v>
      </c>
      <c r="BS154" s="167"/>
      <c r="BT154" s="167" t="s">
        <v>834</v>
      </c>
      <c r="BU154" s="167"/>
      <c r="BV154" s="429">
        <v>5.75</v>
      </c>
      <c r="BW154" s="168"/>
      <c r="BX154" s="437" t="s">
        <v>834</v>
      </c>
      <c r="BY154" s="171"/>
      <c r="BZ154" s="432"/>
      <c r="CA154" s="168"/>
      <c r="CB154" s="167">
        <v>6</v>
      </c>
      <c r="CC154" s="373"/>
      <c r="CD154" s="173" t="s">
        <v>834</v>
      </c>
      <c r="CE154" s="171"/>
      <c r="CF154" s="167" t="s">
        <v>834</v>
      </c>
      <c r="CG154" s="175" t="s">
        <v>2019</v>
      </c>
      <c r="CH154" s="167">
        <v>4.5</v>
      </c>
      <c r="CI154" s="168"/>
      <c r="CJ154" s="167" t="s">
        <v>834</v>
      </c>
      <c r="CK154" s="168"/>
      <c r="CL154" s="385">
        <v>6.25</v>
      </c>
      <c r="CM154" s="168" t="s">
        <v>2013</v>
      </c>
      <c r="CN154" s="385" t="s">
        <v>834</v>
      </c>
      <c r="CO154" s="167"/>
      <c r="CP154" s="167" t="s">
        <v>834</v>
      </c>
      <c r="CQ154" s="167"/>
      <c r="CR154" s="373" t="s">
        <v>834</v>
      </c>
      <c r="CS154" s="373"/>
      <c r="CT154" s="455">
        <v>1.5</v>
      </c>
      <c r="CU154" s="168" t="s">
        <v>840</v>
      </c>
      <c r="CV154" s="432" t="s">
        <v>834</v>
      </c>
      <c r="CW154" s="168" t="s">
        <v>2020</v>
      </c>
      <c r="CX154" s="168" t="s">
        <v>834</v>
      </c>
      <c r="CY154" s="168"/>
      <c r="CZ154" s="173">
        <v>4</v>
      </c>
      <c r="DA154" s="171" t="s">
        <v>2021</v>
      </c>
      <c r="DB154" s="371" t="s">
        <v>546</v>
      </c>
      <c r="DC154" s="371">
        <f t="shared" si="15"/>
        <v>11</v>
      </c>
      <c r="DD154" s="371"/>
      <c r="DE154" s="371"/>
      <c r="DF154" s="371"/>
      <c r="DG154" s="371"/>
      <c r="DH154" s="371"/>
      <c r="DI154" s="371"/>
      <c r="DJ154" s="371"/>
      <c r="DK154" s="371"/>
      <c r="DL154" s="371"/>
      <c r="DM154" s="371"/>
      <c r="DN154" s="371"/>
      <c r="DO154" s="371"/>
      <c r="DP154" s="371"/>
      <c r="DQ154" s="371"/>
      <c r="DR154" s="371"/>
    </row>
    <row r="155" spans="1:122" ht="18.75" x14ac:dyDescent="0.3">
      <c r="A155" s="325">
        <v>518210</v>
      </c>
      <c r="B155" s="326">
        <v>115</v>
      </c>
      <c r="C155" s="327" t="s">
        <v>2022</v>
      </c>
      <c r="D155" s="424" t="s">
        <v>834</v>
      </c>
      <c r="E155" s="328"/>
      <c r="F155" s="173"/>
      <c r="G155" s="173"/>
      <c r="H155" s="373" t="s">
        <v>834</v>
      </c>
      <c r="I155" s="427"/>
      <c r="J155" s="173" t="s">
        <v>834</v>
      </c>
      <c r="K155" s="371" t="s">
        <v>2009</v>
      </c>
      <c r="L155" s="426" t="s">
        <v>834</v>
      </c>
      <c r="M155" s="427"/>
      <c r="N155" s="173" t="s">
        <v>834</v>
      </c>
      <c r="O155" s="171"/>
      <c r="P155" s="569">
        <v>1</v>
      </c>
      <c r="Q155" s="427"/>
      <c r="R155" s="374">
        <v>0.39800000000000002</v>
      </c>
      <c r="S155" s="168" t="s">
        <v>837</v>
      </c>
      <c r="T155" s="428">
        <v>5.75</v>
      </c>
      <c r="U155" s="376"/>
      <c r="V155" s="441" t="s">
        <v>834</v>
      </c>
      <c r="W155" s="377" t="s">
        <v>2023</v>
      </c>
      <c r="X155" s="167" t="s">
        <v>834</v>
      </c>
      <c r="Y155" s="168" t="s">
        <v>856</v>
      </c>
      <c r="Z155" s="167">
        <v>4</v>
      </c>
      <c r="AA155" s="168"/>
      <c r="AB155" s="167" t="s">
        <v>834</v>
      </c>
      <c r="AC155" s="168"/>
      <c r="AD155" s="430" t="s">
        <v>834</v>
      </c>
      <c r="AE155" s="168"/>
      <c r="AF155" s="173" t="s">
        <v>834</v>
      </c>
      <c r="AG155" s="171"/>
      <c r="AH155" s="167" t="s">
        <v>834</v>
      </c>
      <c r="AI155" s="168"/>
      <c r="AJ155" s="373" t="s">
        <v>834</v>
      </c>
      <c r="AK155" s="431"/>
      <c r="AL155" s="167" t="s">
        <v>834</v>
      </c>
      <c r="AM155" s="168"/>
      <c r="AN155" s="173" t="s">
        <v>834</v>
      </c>
      <c r="AO155" s="171"/>
      <c r="AP155" s="432" t="s">
        <v>834</v>
      </c>
      <c r="AQ155" s="168"/>
      <c r="AR155" s="173" t="s">
        <v>834</v>
      </c>
      <c r="AS155" s="171"/>
      <c r="AT155" s="173" t="s">
        <v>834</v>
      </c>
      <c r="AU155" s="171" t="s">
        <v>2024</v>
      </c>
      <c r="AV155" s="381" t="s">
        <v>834</v>
      </c>
      <c r="AW155" s="168"/>
      <c r="AX155" s="433" t="s">
        <v>834</v>
      </c>
      <c r="AY155" s="427"/>
      <c r="AZ155" s="167" t="s">
        <v>834</v>
      </c>
      <c r="BA155" s="427"/>
      <c r="BB155" s="164"/>
      <c r="BC155" s="168"/>
      <c r="BD155" s="464"/>
      <c r="BE155" s="427"/>
      <c r="BF155" s="384" t="s">
        <v>834</v>
      </c>
      <c r="BG155" s="168"/>
      <c r="BH155" s="432" t="s">
        <v>834</v>
      </c>
      <c r="BI155" s="168"/>
      <c r="BJ155" s="167"/>
      <c r="BK155" s="167"/>
      <c r="BL155" s="167" t="s">
        <v>834</v>
      </c>
      <c r="BM155" s="168"/>
      <c r="BN155" s="173">
        <v>5.125</v>
      </c>
      <c r="BO155" s="171"/>
      <c r="BP155" s="435" t="s">
        <v>834</v>
      </c>
      <c r="BQ155" s="436"/>
      <c r="BR155" s="167" t="s">
        <v>834</v>
      </c>
      <c r="BS155" s="168"/>
      <c r="BT155" s="167" t="s">
        <v>834</v>
      </c>
      <c r="BU155" s="168"/>
      <c r="BV155" s="429">
        <v>5.75</v>
      </c>
      <c r="BW155" s="168" t="s">
        <v>2025</v>
      </c>
      <c r="BX155" s="437" t="s">
        <v>834</v>
      </c>
      <c r="BY155" s="171"/>
      <c r="BZ155" s="432"/>
      <c r="CA155" s="168"/>
      <c r="CB155" s="167">
        <v>6</v>
      </c>
      <c r="CC155" s="427"/>
      <c r="CD155" s="173">
        <v>7</v>
      </c>
      <c r="CE155" s="171" t="s">
        <v>2026</v>
      </c>
      <c r="CF155" s="167" t="s">
        <v>834</v>
      </c>
      <c r="CG155" s="175" t="s">
        <v>2019</v>
      </c>
      <c r="CH155" s="167">
        <v>4.5</v>
      </c>
      <c r="CI155" s="168"/>
      <c r="CJ155" s="167" t="s">
        <v>834</v>
      </c>
      <c r="CK155" s="168"/>
      <c r="CL155" s="385">
        <v>6.25</v>
      </c>
      <c r="CM155" s="168"/>
      <c r="CN155" s="385" t="s">
        <v>834</v>
      </c>
      <c r="CO155" s="168"/>
      <c r="CP155" s="167" t="s">
        <v>834</v>
      </c>
      <c r="CQ155" s="168"/>
      <c r="CR155" s="373" t="s">
        <v>834</v>
      </c>
      <c r="CS155" s="427"/>
      <c r="CT155" s="455">
        <v>1.5</v>
      </c>
      <c r="CU155" s="168" t="s">
        <v>840</v>
      </c>
      <c r="CV155" s="442" t="s">
        <v>834</v>
      </c>
      <c r="CW155" s="427" t="s">
        <v>2027</v>
      </c>
      <c r="CX155" s="427" t="s">
        <v>834</v>
      </c>
      <c r="CY155" s="427" t="s">
        <v>2028</v>
      </c>
      <c r="CZ155" s="173" t="s">
        <v>834</v>
      </c>
      <c r="DA155" s="171"/>
      <c r="DB155" s="371" t="s">
        <v>546</v>
      </c>
      <c r="DC155" s="371">
        <f t="shared" si="15"/>
        <v>11</v>
      </c>
      <c r="DD155" s="371"/>
      <c r="DE155" s="371"/>
      <c r="DF155" s="371"/>
      <c r="DG155" s="371"/>
      <c r="DH155" s="371"/>
      <c r="DI155" s="371"/>
      <c r="DJ155" s="371"/>
      <c r="DK155" s="371"/>
      <c r="DL155" s="371"/>
      <c r="DM155" s="371"/>
      <c r="DN155" s="371"/>
      <c r="DO155" s="371"/>
      <c r="DP155" s="371"/>
      <c r="DQ155" s="371"/>
      <c r="DR155" s="371"/>
    </row>
    <row r="156" spans="1:122" ht="18.75" x14ac:dyDescent="0.3">
      <c r="A156" s="325"/>
      <c r="B156" s="326"/>
      <c r="C156" s="327"/>
      <c r="D156" s="424"/>
      <c r="E156" s="328"/>
      <c r="F156" s="173"/>
      <c r="G156" s="173"/>
      <c r="H156" s="373"/>
      <c r="I156" s="427"/>
      <c r="J156" s="173"/>
      <c r="K156" s="371"/>
      <c r="L156" s="426"/>
      <c r="M156" s="427"/>
      <c r="N156" s="173"/>
      <c r="O156" s="171"/>
      <c r="P156" s="435"/>
      <c r="Q156" s="427"/>
      <c r="R156" s="374"/>
      <c r="S156" s="168"/>
      <c r="T156" s="428"/>
      <c r="U156" s="376"/>
      <c r="V156" s="429"/>
      <c r="W156" s="377"/>
      <c r="X156" s="167"/>
      <c r="Y156" s="168"/>
      <c r="Z156" s="167"/>
      <c r="AA156" s="168"/>
      <c r="AB156" s="167"/>
      <c r="AC156" s="168"/>
      <c r="AD156" s="430" t="s">
        <v>546</v>
      </c>
      <c r="AE156" s="168"/>
      <c r="AF156" s="173"/>
      <c r="AG156" s="171"/>
      <c r="AH156" s="167"/>
      <c r="AI156" s="168"/>
      <c r="AJ156" s="373"/>
      <c r="AK156" s="431"/>
      <c r="AL156" s="167"/>
      <c r="AM156" s="168"/>
      <c r="AN156" s="173"/>
      <c r="AO156" s="171"/>
      <c r="AP156" s="432"/>
      <c r="AQ156" s="168"/>
      <c r="AR156" s="173"/>
      <c r="AS156" s="171"/>
      <c r="AT156" s="173"/>
      <c r="AU156" s="171"/>
      <c r="AV156" s="381"/>
      <c r="AW156" s="168"/>
      <c r="AX156" s="433"/>
      <c r="AY156" s="427"/>
      <c r="AZ156" s="167"/>
      <c r="BA156" s="427"/>
      <c r="BB156" s="164"/>
      <c r="BC156" s="168"/>
      <c r="BD156" s="464"/>
      <c r="BE156" s="427"/>
      <c r="BF156" s="384"/>
      <c r="BG156" s="168"/>
      <c r="BH156" s="432"/>
      <c r="BI156" s="168"/>
      <c r="BJ156" s="167"/>
      <c r="BK156" s="167"/>
      <c r="BL156" s="167"/>
      <c r="BM156" s="168"/>
      <c r="BN156" s="173"/>
      <c r="BO156" s="171"/>
      <c r="BP156" s="435"/>
      <c r="BQ156" s="436"/>
      <c r="BR156" s="167"/>
      <c r="BS156" s="168"/>
      <c r="BT156" s="167"/>
      <c r="BU156" s="168"/>
      <c r="BV156" s="429"/>
      <c r="BW156" s="168"/>
      <c r="BX156" s="437"/>
      <c r="BY156" s="171"/>
      <c r="BZ156" s="432"/>
      <c r="CA156" s="168"/>
      <c r="CB156" s="167"/>
      <c r="CC156" s="427"/>
      <c r="CD156" s="173"/>
      <c r="CE156" s="171"/>
      <c r="CF156" s="167"/>
      <c r="CG156" s="175"/>
      <c r="CH156" s="167"/>
      <c r="CI156" s="168"/>
      <c r="CJ156" s="167"/>
      <c r="CK156" s="168"/>
      <c r="CL156" s="385"/>
      <c r="CM156" s="168"/>
      <c r="CN156" s="385"/>
      <c r="CO156" s="168"/>
      <c r="CP156" s="167"/>
      <c r="CQ156" s="168"/>
      <c r="CR156" s="373"/>
      <c r="CS156" s="427"/>
      <c r="CT156" s="455"/>
      <c r="CU156" s="168"/>
      <c r="CV156" s="432"/>
      <c r="CW156" s="168"/>
      <c r="CX156" s="168"/>
      <c r="CY156" s="168"/>
      <c r="CZ156" s="173"/>
      <c r="DA156" s="171"/>
      <c r="DB156" s="371"/>
      <c r="DC156" s="371"/>
      <c r="DD156" s="371"/>
      <c r="DE156" s="371"/>
      <c r="DF156" s="371"/>
      <c r="DG156" s="371"/>
      <c r="DH156" s="371"/>
      <c r="DI156" s="371"/>
      <c r="DJ156" s="371"/>
      <c r="DK156" s="371"/>
      <c r="DL156" s="371"/>
      <c r="DM156" s="371"/>
      <c r="DN156" s="371"/>
      <c r="DO156" s="371"/>
      <c r="DP156" s="371"/>
      <c r="DQ156" s="371"/>
      <c r="DR156" s="371"/>
    </row>
    <row r="157" spans="1:122" ht="18.75" x14ac:dyDescent="0.3">
      <c r="A157" s="389"/>
      <c r="B157" s="448"/>
      <c r="C157" s="391" t="s">
        <v>2029</v>
      </c>
      <c r="D157" s="392" t="s">
        <v>832</v>
      </c>
      <c r="E157" s="393"/>
      <c r="F157" s="394" t="s">
        <v>832</v>
      </c>
      <c r="G157" s="394"/>
      <c r="H157" s="438" t="s">
        <v>832</v>
      </c>
      <c r="I157" s="401"/>
      <c r="J157" s="438" t="s">
        <v>832</v>
      </c>
      <c r="K157" s="397"/>
      <c r="L157" s="438" t="s">
        <v>832</v>
      </c>
      <c r="M157" s="401"/>
      <c r="N157" s="400" t="s">
        <v>832</v>
      </c>
      <c r="O157" s="172"/>
      <c r="P157" s="418" t="s">
        <v>832</v>
      </c>
      <c r="Q157" s="401"/>
      <c r="R157" s="400" t="s">
        <v>832</v>
      </c>
      <c r="S157" s="170"/>
      <c r="T157" s="400" t="s">
        <v>832</v>
      </c>
      <c r="U157" s="404"/>
      <c r="V157" s="418" t="s">
        <v>832</v>
      </c>
      <c r="W157" s="406"/>
      <c r="X157" s="400" t="s">
        <v>832</v>
      </c>
      <c r="Y157" s="170"/>
      <c r="Z157" s="400" t="s">
        <v>832</v>
      </c>
      <c r="AA157" s="170"/>
      <c r="AB157" s="400" t="s">
        <v>832</v>
      </c>
      <c r="AC157" s="170"/>
      <c r="AD157" s="400" t="s">
        <v>832</v>
      </c>
      <c r="AE157" s="170"/>
      <c r="AF157" s="408" t="s">
        <v>832</v>
      </c>
      <c r="AG157" s="172"/>
      <c r="AH157" s="408" t="s">
        <v>832</v>
      </c>
      <c r="AI157" s="170"/>
      <c r="AJ157" s="408" t="s">
        <v>832</v>
      </c>
      <c r="AK157" s="409"/>
      <c r="AL157" s="408" t="s">
        <v>832</v>
      </c>
      <c r="AM157" s="170"/>
      <c r="AN157" s="491" t="s">
        <v>832</v>
      </c>
      <c r="AO157" s="172"/>
      <c r="AP157" s="408" t="s">
        <v>832</v>
      </c>
      <c r="AQ157" s="170"/>
      <c r="AR157" s="438" t="s">
        <v>832</v>
      </c>
      <c r="AS157" s="172"/>
      <c r="AT157" s="438" t="s">
        <v>832</v>
      </c>
      <c r="AU157" s="172"/>
      <c r="AV157" s="408" t="s">
        <v>832</v>
      </c>
      <c r="AW157" s="170"/>
      <c r="AX157" s="408" t="s">
        <v>832</v>
      </c>
      <c r="AY157" s="401"/>
      <c r="AZ157" s="407" t="s">
        <v>832</v>
      </c>
      <c r="BA157" s="401"/>
      <c r="BB157" s="408" t="s">
        <v>832</v>
      </c>
      <c r="BC157" s="170"/>
      <c r="BD157" s="407" t="s">
        <v>832</v>
      </c>
      <c r="BE157" s="401"/>
      <c r="BF157" s="407" t="s">
        <v>832</v>
      </c>
      <c r="BG157" s="170"/>
      <c r="BH157" s="408" t="s">
        <v>832</v>
      </c>
      <c r="BI157" s="170"/>
      <c r="BJ157" s="407" t="s">
        <v>832</v>
      </c>
      <c r="BK157" s="407"/>
      <c r="BL157" s="408" t="s">
        <v>832</v>
      </c>
      <c r="BM157" s="170"/>
      <c r="BN157" s="438" t="s">
        <v>832</v>
      </c>
      <c r="BO157" s="172"/>
      <c r="BP157" s="408" t="s">
        <v>832</v>
      </c>
      <c r="BQ157" s="419"/>
      <c r="BR157" s="407" t="s">
        <v>832</v>
      </c>
      <c r="BS157" s="170"/>
      <c r="BT157" s="408" t="s">
        <v>832</v>
      </c>
      <c r="BU157" s="170"/>
      <c r="BV157" s="407" t="s">
        <v>832</v>
      </c>
      <c r="BW157" s="170"/>
      <c r="BX157" s="438" t="s">
        <v>832</v>
      </c>
      <c r="BY157" s="172"/>
      <c r="BZ157" s="408" t="s">
        <v>832</v>
      </c>
      <c r="CA157" s="170"/>
      <c r="CB157" s="408" t="s">
        <v>832</v>
      </c>
      <c r="CC157" s="401"/>
      <c r="CD157" s="407" t="s">
        <v>832</v>
      </c>
      <c r="CE157" s="172"/>
      <c r="CF157" s="408" t="s">
        <v>832</v>
      </c>
      <c r="CG157" s="399"/>
      <c r="CH157" s="408" t="s">
        <v>832</v>
      </c>
      <c r="CI157" s="170"/>
      <c r="CJ157" s="408" t="s">
        <v>832</v>
      </c>
      <c r="CK157" s="170"/>
      <c r="CL157" s="407" t="s">
        <v>832</v>
      </c>
      <c r="CM157" s="170"/>
      <c r="CN157" s="407" t="s">
        <v>832</v>
      </c>
      <c r="CO157" s="170"/>
      <c r="CP157" s="408" t="s">
        <v>832</v>
      </c>
      <c r="CQ157" s="170"/>
      <c r="CR157" s="408" t="s">
        <v>832</v>
      </c>
      <c r="CS157" s="401"/>
      <c r="CT157" s="408" t="s">
        <v>832</v>
      </c>
      <c r="CU157" s="170"/>
      <c r="CV157" s="407" t="s">
        <v>832</v>
      </c>
      <c r="CW157" s="170"/>
      <c r="CX157" s="407" t="s">
        <v>832</v>
      </c>
      <c r="CY157" s="170"/>
      <c r="CZ157" s="408" t="s">
        <v>832</v>
      </c>
      <c r="DA157" s="172"/>
      <c r="DB157" s="397"/>
      <c r="DC157" s="397"/>
      <c r="DD157" s="397"/>
      <c r="DE157" s="397"/>
      <c r="DF157" s="397"/>
      <c r="DG157" s="397"/>
      <c r="DH157" s="397"/>
      <c r="DI157" s="397"/>
      <c r="DJ157" s="397"/>
      <c r="DK157" s="397"/>
      <c r="DL157" s="397"/>
      <c r="DM157" s="397"/>
      <c r="DN157" s="397"/>
      <c r="DO157" s="397"/>
      <c r="DP157" s="397"/>
      <c r="DQ157" s="397"/>
      <c r="DR157" s="397"/>
    </row>
    <row r="158" spans="1:122" ht="252" x14ac:dyDescent="0.3">
      <c r="A158" s="325">
        <v>518210</v>
      </c>
      <c r="B158" s="326">
        <v>116</v>
      </c>
      <c r="C158" s="327" t="s">
        <v>2030</v>
      </c>
      <c r="D158" s="424">
        <v>4</v>
      </c>
      <c r="E158" s="571" t="s">
        <v>2031</v>
      </c>
      <c r="F158" s="173" t="s">
        <v>546</v>
      </c>
      <c r="G158" s="173"/>
      <c r="H158" s="373" t="s">
        <v>834</v>
      </c>
      <c r="I158" s="427"/>
      <c r="J158" s="173" t="s">
        <v>834</v>
      </c>
      <c r="K158" s="371" t="s">
        <v>2009</v>
      </c>
      <c r="L158" s="426" t="s">
        <v>834</v>
      </c>
      <c r="M158" s="427" t="s">
        <v>2032</v>
      </c>
      <c r="N158" s="173" t="s">
        <v>834</v>
      </c>
      <c r="O158" s="171"/>
      <c r="P158" s="569">
        <v>1</v>
      </c>
      <c r="Q158" s="427" t="s">
        <v>2033</v>
      </c>
      <c r="R158" s="572">
        <v>0.39800000000000002</v>
      </c>
      <c r="S158" s="573" t="s">
        <v>837</v>
      </c>
      <c r="T158" s="428">
        <v>5.75</v>
      </c>
      <c r="U158" s="376"/>
      <c r="V158" s="429" t="s">
        <v>834</v>
      </c>
      <c r="W158" s="377" t="s">
        <v>2034</v>
      </c>
      <c r="X158" s="167" t="s">
        <v>546</v>
      </c>
      <c r="Y158" s="168"/>
      <c r="Z158" s="167">
        <v>4</v>
      </c>
      <c r="AA158" s="168"/>
      <c r="AB158" s="167" t="s">
        <v>834</v>
      </c>
      <c r="AC158" s="168"/>
      <c r="AD158" s="430" t="s">
        <v>834</v>
      </c>
      <c r="AE158" s="168"/>
      <c r="AF158" s="173" t="s">
        <v>834</v>
      </c>
      <c r="AG158" s="171"/>
      <c r="AH158" s="167" t="s">
        <v>834</v>
      </c>
      <c r="AI158" s="168"/>
      <c r="AJ158" s="373" t="s">
        <v>834</v>
      </c>
      <c r="AK158" s="431"/>
      <c r="AL158" s="167" t="s">
        <v>834</v>
      </c>
      <c r="AM158" s="168"/>
      <c r="AN158" s="173" t="s">
        <v>834</v>
      </c>
      <c r="AO158" s="171"/>
      <c r="AP158" s="432" t="s">
        <v>834</v>
      </c>
      <c r="AQ158" s="168"/>
      <c r="AR158" s="173" t="s">
        <v>834</v>
      </c>
      <c r="AS158" s="171"/>
      <c r="AT158" s="173" t="s">
        <v>834</v>
      </c>
      <c r="AU158" s="171"/>
      <c r="AV158" s="381" t="s">
        <v>834</v>
      </c>
      <c r="AW158" s="168"/>
      <c r="AX158" s="433" t="s">
        <v>834</v>
      </c>
      <c r="AY158" s="427"/>
      <c r="AZ158" s="167" t="s">
        <v>834</v>
      </c>
      <c r="BA158" s="427"/>
      <c r="BB158" s="164" t="s">
        <v>834</v>
      </c>
      <c r="BC158" s="168"/>
      <c r="BD158" s="464"/>
      <c r="BE158" s="427"/>
      <c r="BF158" s="384" t="s">
        <v>834</v>
      </c>
      <c r="BG158" s="168"/>
      <c r="BH158" s="432" t="s">
        <v>834</v>
      </c>
      <c r="BI158" s="168"/>
      <c r="BJ158" s="167"/>
      <c r="BK158" s="167"/>
      <c r="BL158" s="167" t="s">
        <v>834</v>
      </c>
      <c r="BM158" s="168"/>
      <c r="BN158" s="173">
        <v>5.125</v>
      </c>
      <c r="BO158" s="171"/>
      <c r="BP158" s="435" t="s">
        <v>834</v>
      </c>
      <c r="BQ158" s="436"/>
      <c r="BR158" s="167" t="s">
        <v>834</v>
      </c>
      <c r="BS158" s="168"/>
      <c r="BT158" s="167" t="s">
        <v>834</v>
      </c>
      <c r="BU158" s="168"/>
      <c r="BV158" s="429">
        <v>5.75</v>
      </c>
      <c r="BW158" s="168"/>
      <c r="BX158" s="437" t="s">
        <v>834</v>
      </c>
      <c r="BY158" s="171"/>
      <c r="BZ158" s="432"/>
      <c r="CA158" s="168"/>
      <c r="CB158" s="167">
        <v>6</v>
      </c>
      <c r="CC158" s="427"/>
      <c r="CD158" s="173" t="s">
        <v>834</v>
      </c>
      <c r="CE158" s="171"/>
      <c r="CF158" s="373" t="s">
        <v>834</v>
      </c>
      <c r="CG158" s="175" t="s">
        <v>2035</v>
      </c>
      <c r="CH158" s="167">
        <v>4.5</v>
      </c>
      <c r="CI158" s="168"/>
      <c r="CJ158" s="167" t="s">
        <v>834</v>
      </c>
      <c r="CK158" s="168"/>
      <c r="CL158" s="385">
        <v>6.25</v>
      </c>
      <c r="CM158" s="168" t="s">
        <v>2013</v>
      </c>
      <c r="CN158" s="385" t="s">
        <v>834</v>
      </c>
      <c r="CO158" s="168"/>
      <c r="CP158" s="167" t="s">
        <v>834</v>
      </c>
      <c r="CQ158" s="168"/>
      <c r="CR158" s="489" t="s">
        <v>834</v>
      </c>
      <c r="CS158" s="427"/>
      <c r="CT158" s="455">
        <v>1.5</v>
      </c>
      <c r="CU158" s="168" t="s">
        <v>840</v>
      </c>
      <c r="CV158" s="432" t="s">
        <v>834</v>
      </c>
      <c r="CW158" s="168"/>
      <c r="CX158" s="168" t="s">
        <v>834</v>
      </c>
      <c r="CY158" s="168"/>
      <c r="CZ158" s="173" t="s">
        <v>834</v>
      </c>
      <c r="DA158" s="171"/>
      <c r="DB158" s="371"/>
      <c r="DC158" s="371">
        <f t="shared" ref="DC158:DC165" si="16">COUNT(D158:CZ158)</f>
        <v>11</v>
      </c>
      <c r="DD158" s="371"/>
      <c r="DE158" s="371"/>
      <c r="DF158" s="371"/>
      <c r="DG158" s="371"/>
      <c r="DH158" s="371"/>
      <c r="DI158" s="371"/>
      <c r="DJ158" s="371"/>
      <c r="DK158" s="371"/>
      <c r="DL158" s="371"/>
      <c r="DM158" s="371"/>
      <c r="DN158" s="371"/>
      <c r="DO158" s="371"/>
      <c r="DP158" s="371"/>
      <c r="DQ158" s="371"/>
      <c r="DR158" s="371"/>
    </row>
    <row r="159" spans="1:122" ht="252" x14ac:dyDescent="0.3">
      <c r="A159" s="325">
        <v>5112</v>
      </c>
      <c r="B159" s="326">
        <v>117</v>
      </c>
      <c r="C159" s="327" t="s">
        <v>2036</v>
      </c>
      <c r="D159" s="424">
        <v>4</v>
      </c>
      <c r="E159" s="571" t="s">
        <v>2031</v>
      </c>
      <c r="F159" s="173" t="s">
        <v>546</v>
      </c>
      <c r="G159" s="173"/>
      <c r="H159" s="373" t="s">
        <v>834</v>
      </c>
      <c r="I159" s="427"/>
      <c r="J159" s="173">
        <v>5.6</v>
      </c>
      <c r="K159" s="371" t="s">
        <v>2037</v>
      </c>
      <c r="L159" s="426" t="s">
        <v>834</v>
      </c>
      <c r="M159" s="427"/>
      <c r="N159" s="173" t="s">
        <v>834</v>
      </c>
      <c r="O159" s="171"/>
      <c r="P159" s="569">
        <v>1</v>
      </c>
      <c r="Q159" s="427" t="s">
        <v>2033</v>
      </c>
      <c r="R159" s="572">
        <v>0.39800000000000002</v>
      </c>
      <c r="S159" s="573" t="s">
        <v>837</v>
      </c>
      <c r="T159" s="428">
        <v>5.75</v>
      </c>
      <c r="U159" s="376"/>
      <c r="V159" s="429" t="s">
        <v>834</v>
      </c>
      <c r="W159" s="377"/>
      <c r="X159" s="167" t="s">
        <v>546</v>
      </c>
      <c r="Y159" s="168"/>
      <c r="Z159" s="167">
        <v>4</v>
      </c>
      <c r="AA159" s="168"/>
      <c r="AB159" s="167" t="s">
        <v>834</v>
      </c>
      <c r="AC159" s="168"/>
      <c r="AD159" s="430">
        <v>6.25</v>
      </c>
      <c r="AE159" s="168"/>
      <c r="AF159" s="173">
        <v>7</v>
      </c>
      <c r="AG159" s="171"/>
      <c r="AH159" s="167" t="s">
        <v>834</v>
      </c>
      <c r="AI159" s="168"/>
      <c r="AJ159" s="425">
        <v>6.5</v>
      </c>
      <c r="AK159" s="574" t="s">
        <v>2038</v>
      </c>
      <c r="AL159" s="167">
        <v>6</v>
      </c>
      <c r="AM159" s="168" t="s">
        <v>2039</v>
      </c>
      <c r="AN159" s="173">
        <v>5</v>
      </c>
      <c r="AO159" s="171"/>
      <c r="AP159" s="432">
        <v>5.5</v>
      </c>
      <c r="AQ159" s="168"/>
      <c r="AR159" s="173" t="s">
        <v>834</v>
      </c>
      <c r="AS159" s="171"/>
      <c r="AT159" s="173">
        <v>6.25</v>
      </c>
      <c r="AU159" s="171" t="s">
        <v>2040</v>
      </c>
      <c r="AV159" s="381">
        <v>6</v>
      </c>
      <c r="AW159" s="168" t="s">
        <v>2041</v>
      </c>
      <c r="AX159" s="443">
        <v>6.875</v>
      </c>
      <c r="AY159" s="427" t="s">
        <v>2042</v>
      </c>
      <c r="AZ159" s="167">
        <v>7</v>
      </c>
      <c r="BA159" s="427"/>
      <c r="BB159" s="164" t="s">
        <v>834</v>
      </c>
      <c r="BC159" s="168"/>
      <c r="BD159" s="464"/>
      <c r="BE159" s="427"/>
      <c r="BF159" s="384">
        <v>5.5</v>
      </c>
      <c r="BG159" s="168" t="s">
        <v>2043</v>
      </c>
      <c r="BH159" s="432" t="s">
        <v>834</v>
      </c>
      <c r="BI159" s="168"/>
      <c r="BJ159" s="167"/>
      <c r="BK159" s="167"/>
      <c r="BL159" s="373">
        <v>6.875</v>
      </c>
      <c r="BM159" s="168" t="s">
        <v>2044</v>
      </c>
      <c r="BN159" s="173">
        <v>5.125</v>
      </c>
      <c r="BO159" s="171"/>
      <c r="BP159" s="435">
        <v>4</v>
      </c>
      <c r="BQ159" s="436" t="s">
        <v>2045</v>
      </c>
      <c r="BR159" s="385">
        <v>4.75</v>
      </c>
      <c r="BS159" s="168" t="s">
        <v>1937</v>
      </c>
      <c r="BT159" s="167">
        <v>5</v>
      </c>
      <c r="BU159" s="168" t="s">
        <v>2046</v>
      </c>
      <c r="BV159" s="429">
        <v>5.75</v>
      </c>
      <c r="BW159" s="168" t="s">
        <v>2047</v>
      </c>
      <c r="BX159" s="437" t="s">
        <v>834</v>
      </c>
      <c r="BY159" s="171"/>
      <c r="BZ159" s="432"/>
      <c r="CA159" s="168"/>
      <c r="CB159" s="167">
        <v>6</v>
      </c>
      <c r="CC159" s="427" t="s">
        <v>2048</v>
      </c>
      <c r="CD159" s="173">
        <v>7</v>
      </c>
      <c r="CE159" s="171"/>
      <c r="CF159" s="373" t="s">
        <v>834</v>
      </c>
      <c r="CG159" s="175" t="s">
        <v>2049</v>
      </c>
      <c r="CH159" s="167">
        <v>4.5</v>
      </c>
      <c r="CI159" s="168"/>
      <c r="CJ159" s="167">
        <v>7</v>
      </c>
      <c r="CK159" s="168"/>
      <c r="CL159" s="385">
        <v>6.25</v>
      </c>
      <c r="CM159" s="168"/>
      <c r="CN159" s="385">
        <v>4.7</v>
      </c>
      <c r="CO159" s="168"/>
      <c r="CP159" s="167">
        <v>6</v>
      </c>
      <c r="CQ159" s="168"/>
      <c r="CR159" s="489" t="s">
        <v>834</v>
      </c>
      <c r="CS159" s="427"/>
      <c r="CT159" s="455">
        <v>6.5</v>
      </c>
      <c r="CU159" s="168" t="s">
        <v>938</v>
      </c>
      <c r="CV159" s="432">
        <v>6</v>
      </c>
      <c r="CW159" s="168"/>
      <c r="CX159" s="168">
        <v>5</v>
      </c>
      <c r="CY159" s="168" t="s">
        <v>2050</v>
      </c>
      <c r="CZ159" s="173">
        <v>4</v>
      </c>
      <c r="DA159" s="171" t="s">
        <v>2051</v>
      </c>
      <c r="DB159" s="371" t="s">
        <v>546</v>
      </c>
      <c r="DC159" s="371">
        <f t="shared" si="16"/>
        <v>34</v>
      </c>
      <c r="DD159" s="371"/>
      <c r="DE159" s="371"/>
      <c r="DF159" s="371"/>
      <c r="DG159" s="371"/>
      <c r="DH159" s="371"/>
      <c r="DI159" s="371"/>
      <c r="DJ159" s="371"/>
      <c r="DK159" s="371"/>
      <c r="DL159" s="371"/>
      <c r="DM159" s="371"/>
      <c r="DN159" s="371"/>
      <c r="DO159" s="371"/>
      <c r="DP159" s="371"/>
      <c r="DQ159" s="371"/>
      <c r="DR159" s="371"/>
    </row>
    <row r="160" spans="1:122" ht="252" x14ac:dyDescent="0.3">
      <c r="A160" s="325">
        <v>4512</v>
      </c>
      <c r="B160" s="326">
        <v>118</v>
      </c>
      <c r="C160" s="327" t="s">
        <v>2052</v>
      </c>
      <c r="D160" s="424">
        <v>4</v>
      </c>
      <c r="E160" s="571" t="s">
        <v>2031</v>
      </c>
      <c r="F160" s="173" t="s">
        <v>546</v>
      </c>
      <c r="G160" s="173"/>
      <c r="H160" s="373" t="s">
        <v>834</v>
      </c>
      <c r="I160" s="427" t="s">
        <v>2053</v>
      </c>
      <c r="J160" s="173">
        <v>5.6</v>
      </c>
      <c r="K160" s="371" t="s">
        <v>1930</v>
      </c>
      <c r="L160" s="426" t="s">
        <v>834</v>
      </c>
      <c r="M160" s="427"/>
      <c r="N160" s="173">
        <v>2.9</v>
      </c>
      <c r="O160" s="171"/>
      <c r="P160" s="569">
        <v>1</v>
      </c>
      <c r="Q160" s="427" t="s">
        <v>2033</v>
      </c>
      <c r="R160" s="572">
        <v>0.39800000000000002</v>
      </c>
      <c r="S160" s="573" t="s">
        <v>837</v>
      </c>
      <c r="T160" s="428" t="s">
        <v>834</v>
      </c>
      <c r="U160" s="376"/>
      <c r="V160" s="429" t="s">
        <v>834</v>
      </c>
      <c r="W160" s="377"/>
      <c r="X160" s="167" t="s">
        <v>546</v>
      </c>
      <c r="Y160" s="168"/>
      <c r="Z160" s="167">
        <v>4</v>
      </c>
      <c r="AA160" s="168"/>
      <c r="AB160" s="167">
        <v>6</v>
      </c>
      <c r="AC160" s="168" t="s">
        <v>2054</v>
      </c>
      <c r="AD160" s="430" t="s">
        <v>834</v>
      </c>
      <c r="AE160" s="168"/>
      <c r="AF160" s="173">
        <v>7</v>
      </c>
      <c r="AG160" s="171" t="s">
        <v>2055</v>
      </c>
      <c r="AH160" s="167" t="s">
        <v>834</v>
      </c>
      <c r="AI160" s="168"/>
      <c r="AJ160" s="373" t="s">
        <v>834</v>
      </c>
      <c r="AK160" s="431"/>
      <c r="AL160" s="167">
        <v>6</v>
      </c>
      <c r="AM160" s="168" t="s">
        <v>2056</v>
      </c>
      <c r="AN160" s="173">
        <v>5</v>
      </c>
      <c r="AO160" s="171"/>
      <c r="AP160" s="432">
        <v>5.5</v>
      </c>
      <c r="AQ160" s="168"/>
      <c r="AR160" s="173" t="s">
        <v>834</v>
      </c>
      <c r="AS160" s="171"/>
      <c r="AT160" s="173" t="s">
        <v>834</v>
      </c>
      <c r="AU160" s="171"/>
      <c r="AV160" s="381" t="s">
        <v>834</v>
      </c>
      <c r="AW160" s="168"/>
      <c r="AX160" s="433">
        <v>6.875</v>
      </c>
      <c r="AY160" s="427" t="s">
        <v>2057</v>
      </c>
      <c r="AZ160" s="167">
        <v>7</v>
      </c>
      <c r="BA160" s="427"/>
      <c r="BB160" s="164" t="s">
        <v>834</v>
      </c>
      <c r="BC160" s="168"/>
      <c r="BD160" s="464"/>
      <c r="BE160" s="427"/>
      <c r="BF160" s="558">
        <v>5.5</v>
      </c>
      <c r="BG160" s="453" t="s">
        <v>2058</v>
      </c>
      <c r="BH160" s="432" t="s">
        <v>834</v>
      </c>
      <c r="BI160" s="168"/>
      <c r="BJ160" s="167"/>
      <c r="BK160" s="167"/>
      <c r="BL160" s="167">
        <v>6.875</v>
      </c>
      <c r="BM160" s="168" t="s">
        <v>2059</v>
      </c>
      <c r="BN160" s="173">
        <v>5.125</v>
      </c>
      <c r="BO160" s="171"/>
      <c r="BP160" s="435" t="s">
        <v>834</v>
      </c>
      <c r="BQ160" s="436"/>
      <c r="BR160" s="385">
        <v>4.75</v>
      </c>
      <c r="BS160" s="168"/>
      <c r="BT160" s="167" t="s">
        <v>834</v>
      </c>
      <c r="BU160" s="168"/>
      <c r="BV160" s="167">
        <v>5.75</v>
      </c>
      <c r="BW160" s="168" t="s">
        <v>2060</v>
      </c>
      <c r="BX160" s="437" t="s">
        <v>834</v>
      </c>
      <c r="BY160" s="171"/>
      <c r="BZ160" s="432"/>
      <c r="CA160" s="168"/>
      <c r="CB160" s="167">
        <v>6</v>
      </c>
      <c r="CC160" s="427"/>
      <c r="CD160" s="173" t="s">
        <v>834</v>
      </c>
      <c r="CE160" s="171"/>
      <c r="CF160" s="373" t="s">
        <v>834</v>
      </c>
      <c r="CG160" s="175"/>
      <c r="CH160" s="167">
        <v>4.5</v>
      </c>
      <c r="CI160" s="168"/>
      <c r="CJ160" s="167">
        <v>7</v>
      </c>
      <c r="CK160" s="168" t="s">
        <v>2061</v>
      </c>
      <c r="CL160" s="385">
        <v>6.25</v>
      </c>
      <c r="CM160" s="168"/>
      <c r="CN160" s="385">
        <v>4.7</v>
      </c>
      <c r="CO160" s="168"/>
      <c r="CP160" s="167">
        <v>6</v>
      </c>
      <c r="CQ160" s="168"/>
      <c r="CR160" s="489" t="s">
        <v>834</v>
      </c>
      <c r="CS160" s="427"/>
      <c r="CT160" s="455">
        <v>6.5</v>
      </c>
      <c r="CU160" s="168" t="s">
        <v>938</v>
      </c>
      <c r="CV160" s="432">
        <v>6</v>
      </c>
      <c r="CW160" s="168"/>
      <c r="CX160" s="168">
        <v>5</v>
      </c>
      <c r="CY160" s="168" t="s">
        <v>2062</v>
      </c>
      <c r="CZ160" s="173">
        <v>4</v>
      </c>
      <c r="DA160" s="171" t="s">
        <v>2063</v>
      </c>
      <c r="DB160" s="371" t="s">
        <v>546</v>
      </c>
      <c r="DC160" s="371">
        <f t="shared" si="16"/>
        <v>28</v>
      </c>
      <c r="DD160" s="371"/>
      <c r="DE160" s="371"/>
      <c r="DF160" s="371"/>
      <c r="DG160" s="371"/>
      <c r="DH160" s="371"/>
      <c r="DI160" s="371"/>
      <c r="DJ160" s="371"/>
      <c r="DK160" s="371"/>
      <c r="DL160" s="371"/>
      <c r="DM160" s="371"/>
      <c r="DN160" s="371"/>
      <c r="DO160" s="371"/>
      <c r="DP160" s="371"/>
      <c r="DQ160" s="371"/>
      <c r="DR160" s="371"/>
    </row>
    <row r="161" spans="1:122" ht="252" x14ac:dyDescent="0.3">
      <c r="A161" s="325">
        <v>443142</v>
      </c>
      <c r="B161" s="326">
        <v>119</v>
      </c>
      <c r="C161" s="327" t="s">
        <v>2064</v>
      </c>
      <c r="D161" s="424">
        <v>4</v>
      </c>
      <c r="E161" s="571" t="s">
        <v>2031</v>
      </c>
      <c r="F161" s="173" t="s">
        <v>546</v>
      </c>
      <c r="G161" s="173"/>
      <c r="H161" s="373" t="s">
        <v>834</v>
      </c>
      <c r="I161" s="427" t="s">
        <v>2053</v>
      </c>
      <c r="J161" s="173">
        <v>5.6</v>
      </c>
      <c r="K161" s="371" t="s">
        <v>1930</v>
      </c>
      <c r="L161" s="426" t="s">
        <v>834</v>
      </c>
      <c r="M161" s="427"/>
      <c r="N161" s="173">
        <v>2.9</v>
      </c>
      <c r="O161" s="171"/>
      <c r="P161" s="569">
        <v>1</v>
      </c>
      <c r="Q161" s="427" t="s">
        <v>2033</v>
      </c>
      <c r="R161" s="572">
        <v>0.39800000000000002</v>
      </c>
      <c r="S161" s="573" t="s">
        <v>837</v>
      </c>
      <c r="T161" s="428" t="s">
        <v>834</v>
      </c>
      <c r="U161" s="376"/>
      <c r="V161" s="429" t="s">
        <v>834</v>
      </c>
      <c r="W161" s="377"/>
      <c r="X161" s="167" t="s">
        <v>546</v>
      </c>
      <c r="Y161" s="168"/>
      <c r="Z161" s="167">
        <v>4</v>
      </c>
      <c r="AA161" s="168"/>
      <c r="AB161" s="167">
        <v>6</v>
      </c>
      <c r="AC161" s="168" t="s">
        <v>2054</v>
      </c>
      <c r="AD161" s="430" t="s">
        <v>834</v>
      </c>
      <c r="AE161" s="168"/>
      <c r="AF161" s="173">
        <v>7</v>
      </c>
      <c r="AG161" s="171" t="s">
        <v>2055</v>
      </c>
      <c r="AH161" s="167" t="s">
        <v>834</v>
      </c>
      <c r="AI161" s="168"/>
      <c r="AJ161" s="373" t="s">
        <v>834</v>
      </c>
      <c r="AK161" s="431"/>
      <c r="AL161" s="167">
        <v>6</v>
      </c>
      <c r="AM161" s="168" t="s">
        <v>2056</v>
      </c>
      <c r="AN161" s="173">
        <v>5</v>
      </c>
      <c r="AO161" s="171"/>
      <c r="AP161" s="432">
        <v>5.5</v>
      </c>
      <c r="AQ161" s="168"/>
      <c r="AR161" s="173" t="s">
        <v>834</v>
      </c>
      <c r="AS161" s="171"/>
      <c r="AT161" s="173" t="s">
        <v>834</v>
      </c>
      <c r="AU161" s="171"/>
      <c r="AV161" s="381" t="s">
        <v>834</v>
      </c>
      <c r="AW161" s="168"/>
      <c r="AX161" s="433">
        <v>6.875</v>
      </c>
      <c r="AY161" s="427"/>
      <c r="AZ161" s="167">
        <v>7</v>
      </c>
      <c r="BA161" s="427"/>
      <c r="BB161" s="164" t="s">
        <v>834</v>
      </c>
      <c r="BC161" s="168"/>
      <c r="BD161" s="464"/>
      <c r="BE161" s="427"/>
      <c r="BF161" s="558">
        <v>5.5</v>
      </c>
      <c r="BG161" s="453" t="s">
        <v>2058</v>
      </c>
      <c r="BH161" s="432" t="s">
        <v>834</v>
      </c>
      <c r="BI161" s="168"/>
      <c r="BJ161" s="167"/>
      <c r="BK161" s="167"/>
      <c r="BL161" s="167">
        <v>6.875</v>
      </c>
      <c r="BM161" s="168" t="s">
        <v>2059</v>
      </c>
      <c r="BN161" s="173">
        <v>5.125</v>
      </c>
      <c r="BO161" s="171"/>
      <c r="BP161" s="435" t="s">
        <v>834</v>
      </c>
      <c r="BQ161" s="436"/>
      <c r="BR161" s="385">
        <v>4.75</v>
      </c>
      <c r="BS161" s="168"/>
      <c r="BT161" s="167" t="s">
        <v>834</v>
      </c>
      <c r="BU161" s="168"/>
      <c r="BV161" s="167">
        <v>5.75</v>
      </c>
      <c r="BW161" s="168" t="s">
        <v>2060</v>
      </c>
      <c r="BX161" s="437" t="s">
        <v>834</v>
      </c>
      <c r="BY161" s="171"/>
      <c r="BZ161" s="432"/>
      <c r="CA161" s="168"/>
      <c r="CB161" s="167">
        <v>6</v>
      </c>
      <c r="CC161" s="427"/>
      <c r="CD161" s="173" t="s">
        <v>834</v>
      </c>
      <c r="CE161" s="171"/>
      <c r="CF161" s="373" t="s">
        <v>834</v>
      </c>
      <c r="CG161" s="175" t="s">
        <v>2065</v>
      </c>
      <c r="CH161" s="167">
        <v>4.5</v>
      </c>
      <c r="CI161" s="168"/>
      <c r="CJ161" s="167">
        <v>7</v>
      </c>
      <c r="CK161" s="168" t="s">
        <v>2061</v>
      </c>
      <c r="CL161" s="385">
        <v>6.25</v>
      </c>
      <c r="CM161" s="168"/>
      <c r="CN161" s="385">
        <v>4.7</v>
      </c>
      <c r="CO161" s="168"/>
      <c r="CP161" s="167">
        <v>6</v>
      </c>
      <c r="CQ161" s="168"/>
      <c r="CR161" s="489" t="s">
        <v>834</v>
      </c>
      <c r="CS161" s="427"/>
      <c r="CT161" s="455">
        <v>6.5</v>
      </c>
      <c r="CU161" s="168" t="s">
        <v>938</v>
      </c>
      <c r="CV161" s="432">
        <v>6</v>
      </c>
      <c r="CW161" s="168"/>
      <c r="CX161" s="168">
        <v>5</v>
      </c>
      <c r="CY161" s="168"/>
      <c r="CZ161" s="173">
        <v>4</v>
      </c>
      <c r="DA161" s="171" t="s">
        <v>2063</v>
      </c>
      <c r="DB161" s="371" t="s">
        <v>546</v>
      </c>
      <c r="DC161" s="371">
        <f t="shared" si="16"/>
        <v>28</v>
      </c>
      <c r="DD161" s="371"/>
      <c r="DE161" s="371"/>
      <c r="DF161" s="371"/>
      <c r="DG161" s="371"/>
      <c r="DH161" s="371"/>
      <c r="DI161" s="371"/>
      <c r="DJ161" s="371"/>
      <c r="DK161" s="371"/>
      <c r="DL161" s="371"/>
      <c r="DM161" s="371"/>
      <c r="DN161" s="371"/>
      <c r="DO161" s="371"/>
      <c r="DP161" s="371"/>
      <c r="DQ161" s="371"/>
      <c r="DR161" s="371"/>
    </row>
    <row r="162" spans="1:122" ht="252" x14ac:dyDescent="0.3">
      <c r="A162" s="325">
        <v>443142</v>
      </c>
      <c r="B162" s="326">
        <v>120</v>
      </c>
      <c r="C162" s="327" t="s">
        <v>2066</v>
      </c>
      <c r="D162" s="424">
        <v>4</v>
      </c>
      <c r="E162" s="571" t="s">
        <v>2031</v>
      </c>
      <c r="F162" s="173" t="s">
        <v>546</v>
      </c>
      <c r="G162" s="173"/>
      <c r="H162" s="373" t="s">
        <v>834</v>
      </c>
      <c r="I162" s="427" t="s">
        <v>2053</v>
      </c>
      <c r="J162" s="173">
        <v>5.6</v>
      </c>
      <c r="K162" s="371" t="s">
        <v>1930</v>
      </c>
      <c r="L162" s="426" t="s">
        <v>834</v>
      </c>
      <c r="M162" s="427"/>
      <c r="N162" s="173">
        <v>2.9</v>
      </c>
      <c r="O162" s="171"/>
      <c r="P162" s="569">
        <v>1</v>
      </c>
      <c r="Q162" s="427" t="s">
        <v>2033</v>
      </c>
      <c r="R162" s="572">
        <v>0.39800000000000002</v>
      </c>
      <c r="S162" s="573" t="s">
        <v>837</v>
      </c>
      <c r="T162" s="469">
        <v>10</v>
      </c>
      <c r="U162" s="376" t="s">
        <v>2067</v>
      </c>
      <c r="V162" s="429" t="s">
        <v>834</v>
      </c>
      <c r="W162" s="377"/>
      <c r="X162" s="167" t="s">
        <v>546</v>
      </c>
      <c r="Y162" s="168"/>
      <c r="Z162" s="167">
        <v>4</v>
      </c>
      <c r="AA162" s="168"/>
      <c r="AB162" s="167">
        <v>6</v>
      </c>
      <c r="AC162" s="168" t="s">
        <v>2054</v>
      </c>
      <c r="AD162" s="430" t="s">
        <v>834</v>
      </c>
      <c r="AE162" s="168"/>
      <c r="AF162" s="173">
        <v>7</v>
      </c>
      <c r="AG162" s="171" t="s">
        <v>2055</v>
      </c>
      <c r="AH162" s="167" t="s">
        <v>834</v>
      </c>
      <c r="AI162" s="168"/>
      <c r="AJ162" s="373" t="s">
        <v>834</v>
      </c>
      <c r="AK162" s="431"/>
      <c r="AL162" s="167" t="s">
        <v>834</v>
      </c>
      <c r="AM162" s="168" t="s">
        <v>2068</v>
      </c>
      <c r="AN162" s="173">
        <v>5</v>
      </c>
      <c r="AO162" s="171"/>
      <c r="AP162" s="432">
        <v>5.5</v>
      </c>
      <c r="AQ162" s="168"/>
      <c r="AR162" s="173" t="s">
        <v>834</v>
      </c>
      <c r="AS162" s="171"/>
      <c r="AT162" s="173" t="s">
        <v>834</v>
      </c>
      <c r="AU162" s="171"/>
      <c r="AV162" s="381" t="s">
        <v>834</v>
      </c>
      <c r="AW162" s="168"/>
      <c r="AX162" s="433">
        <v>6.875</v>
      </c>
      <c r="AY162" s="427"/>
      <c r="AZ162" s="167">
        <v>7</v>
      </c>
      <c r="BA162" s="427"/>
      <c r="BB162" s="164" t="s">
        <v>834</v>
      </c>
      <c r="BC162" s="168"/>
      <c r="BD162" s="464"/>
      <c r="BE162" s="427"/>
      <c r="BF162" s="558">
        <v>5.5</v>
      </c>
      <c r="BG162" s="453" t="s">
        <v>2058</v>
      </c>
      <c r="BH162" s="432" t="s">
        <v>834</v>
      </c>
      <c r="BI162" s="168"/>
      <c r="BJ162" s="167"/>
      <c r="BK162" s="167"/>
      <c r="BL162" s="167">
        <v>6.875</v>
      </c>
      <c r="BM162" s="168" t="s">
        <v>2059</v>
      </c>
      <c r="BN162" s="173">
        <v>5.125</v>
      </c>
      <c r="BO162" s="171"/>
      <c r="BP162" s="435" t="s">
        <v>834</v>
      </c>
      <c r="BQ162" s="436"/>
      <c r="BR162" s="385">
        <v>4.75</v>
      </c>
      <c r="BS162" s="168"/>
      <c r="BT162" s="167" t="s">
        <v>834</v>
      </c>
      <c r="BU162" s="168"/>
      <c r="BV162" s="167">
        <v>5.75</v>
      </c>
      <c r="BW162" s="168" t="s">
        <v>2060</v>
      </c>
      <c r="BX162" s="437" t="s">
        <v>834</v>
      </c>
      <c r="BY162" s="171"/>
      <c r="BZ162" s="432"/>
      <c r="CA162" s="168"/>
      <c r="CB162" s="167">
        <v>6</v>
      </c>
      <c r="CC162" s="427"/>
      <c r="CD162" s="173" t="s">
        <v>834</v>
      </c>
      <c r="CE162" s="171"/>
      <c r="CF162" s="373" t="s">
        <v>834</v>
      </c>
      <c r="CG162" s="175" t="s">
        <v>2065</v>
      </c>
      <c r="CH162" s="167">
        <v>4.5</v>
      </c>
      <c r="CI162" s="168"/>
      <c r="CJ162" s="167">
        <v>7</v>
      </c>
      <c r="CK162" s="168" t="s">
        <v>2061</v>
      </c>
      <c r="CL162" s="385">
        <v>6.25</v>
      </c>
      <c r="CM162" s="168"/>
      <c r="CN162" s="385">
        <v>4.7</v>
      </c>
      <c r="CO162" s="168"/>
      <c r="CP162" s="167">
        <v>6</v>
      </c>
      <c r="CQ162" s="168"/>
      <c r="CR162" s="489" t="s">
        <v>834</v>
      </c>
      <c r="CS162" s="427"/>
      <c r="CT162" s="455">
        <v>6.5</v>
      </c>
      <c r="CU162" s="168" t="s">
        <v>938</v>
      </c>
      <c r="CV162" s="432">
        <v>6</v>
      </c>
      <c r="CW162" s="168"/>
      <c r="CX162" s="168">
        <v>5</v>
      </c>
      <c r="CY162" s="168"/>
      <c r="CZ162" s="173">
        <v>4</v>
      </c>
      <c r="DA162" s="171" t="s">
        <v>2063</v>
      </c>
      <c r="DB162" s="371" t="s">
        <v>546</v>
      </c>
      <c r="DC162" s="371">
        <f t="shared" si="16"/>
        <v>28</v>
      </c>
      <c r="DD162" s="371"/>
      <c r="DE162" s="371"/>
      <c r="DF162" s="371"/>
      <c r="DG162" s="371"/>
      <c r="DH162" s="371"/>
      <c r="DI162" s="371"/>
      <c r="DJ162" s="371"/>
      <c r="DK162" s="371"/>
      <c r="DL162" s="371"/>
      <c r="DM162" s="371"/>
      <c r="DN162" s="371"/>
      <c r="DO162" s="371"/>
      <c r="DP162" s="371"/>
      <c r="DQ162" s="371"/>
      <c r="DR162" s="371"/>
    </row>
    <row r="163" spans="1:122" ht="252" x14ac:dyDescent="0.3">
      <c r="A163" s="325">
        <v>519190</v>
      </c>
      <c r="B163" s="326">
        <v>121</v>
      </c>
      <c r="C163" s="327" t="s">
        <v>2069</v>
      </c>
      <c r="D163" s="424">
        <v>4</v>
      </c>
      <c r="E163" s="571" t="s">
        <v>2031</v>
      </c>
      <c r="F163" s="173" t="s">
        <v>546</v>
      </c>
      <c r="G163" s="173"/>
      <c r="H163" s="373" t="s">
        <v>834</v>
      </c>
      <c r="I163" s="427"/>
      <c r="J163" s="173">
        <v>5.6</v>
      </c>
      <c r="K163" s="371" t="s">
        <v>2070</v>
      </c>
      <c r="L163" s="426" t="s">
        <v>834</v>
      </c>
      <c r="M163" s="427"/>
      <c r="N163" s="173">
        <v>2.9</v>
      </c>
      <c r="O163" s="171"/>
      <c r="P163" s="569">
        <v>1</v>
      </c>
      <c r="Q163" s="427" t="s">
        <v>2033</v>
      </c>
      <c r="R163" s="572">
        <v>0.39800000000000002</v>
      </c>
      <c r="S163" s="573" t="s">
        <v>837</v>
      </c>
      <c r="T163" s="469" t="s">
        <v>834</v>
      </c>
      <c r="U163" s="376"/>
      <c r="V163" s="429" t="s">
        <v>834</v>
      </c>
      <c r="W163" s="377"/>
      <c r="X163" s="167" t="s">
        <v>546</v>
      </c>
      <c r="Y163" s="168"/>
      <c r="Z163" s="167">
        <v>4</v>
      </c>
      <c r="AA163" s="168"/>
      <c r="AB163" s="167">
        <v>6</v>
      </c>
      <c r="AC163" s="168" t="s">
        <v>2054</v>
      </c>
      <c r="AD163" s="430" t="s">
        <v>834</v>
      </c>
      <c r="AE163" s="168"/>
      <c r="AF163" s="173">
        <v>7</v>
      </c>
      <c r="AG163" s="171" t="s">
        <v>2055</v>
      </c>
      <c r="AH163" s="167" t="s">
        <v>834</v>
      </c>
      <c r="AI163" s="168"/>
      <c r="AJ163" s="373" t="s">
        <v>834</v>
      </c>
      <c r="AK163" s="431"/>
      <c r="AL163" s="167">
        <v>6</v>
      </c>
      <c r="AM163" s="168" t="s">
        <v>2071</v>
      </c>
      <c r="AN163" s="173">
        <v>5</v>
      </c>
      <c r="AO163" s="171"/>
      <c r="AP163" s="432">
        <v>5.5</v>
      </c>
      <c r="AQ163" s="168" t="s">
        <v>2072</v>
      </c>
      <c r="AR163" s="173" t="s">
        <v>834</v>
      </c>
      <c r="AS163" s="171"/>
      <c r="AT163" s="173" t="s">
        <v>834</v>
      </c>
      <c r="AU163" s="171"/>
      <c r="AV163" s="381" t="s">
        <v>834</v>
      </c>
      <c r="AW163" s="168"/>
      <c r="AX163" s="433" t="s">
        <v>834</v>
      </c>
      <c r="AY163" s="427" t="s">
        <v>2073</v>
      </c>
      <c r="AZ163" s="167">
        <v>7</v>
      </c>
      <c r="BA163" s="427"/>
      <c r="BB163" s="164" t="s">
        <v>834</v>
      </c>
      <c r="BC163" s="168"/>
      <c r="BD163" s="464"/>
      <c r="BE163" s="427"/>
      <c r="BF163" s="384" t="s">
        <v>834</v>
      </c>
      <c r="BG163" s="453"/>
      <c r="BH163" s="432" t="s">
        <v>834</v>
      </c>
      <c r="BI163" s="168"/>
      <c r="BJ163" s="167"/>
      <c r="BK163" s="167"/>
      <c r="BL163" s="373" t="s">
        <v>834</v>
      </c>
      <c r="BM163" s="168" t="s">
        <v>2074</v>
      </c>
      <c r="BN163" s="173">
        <v>5.125</v>
      </c>
      <c r="BO163" s="171"/>
      <c r="BP163" s="435" t="s">
        <v>834</v>
      </c>
      <c r="BQ163" s="436"/>
      <c r="BR163" s="385">
        <v>4.75</v>
      </c>
      <c r="BS163" s="168" t="s">
        <v>2075</v>
      </c>
      <c r="BT163" s="167" t="s">
        <v>834</v>
      </c>
      <c r="BU163" s="168"/>
      <c r="BV163" s="167">
        <v>5.75</v>
      </c>
      <c r="BW163" s="168" t="s">
        <v>2060</v>
      </c>
      <c r="BX163" s="437" t="s">
        <v>834</v>
      </c>
      <c r="BY163" s="171"/>
      <c r="BZ163" s="432"/>
      <c r="CA163" s="168"/>
      <c r="CB163" s="167">
        <v>6</v>
      </c>
      <c r="CC163" s="427"/>
      <c r="CD163" s="173" t="s">
        <v>834</v>
      </c>
      <c r="CE163" s="171" t="s">
        <v>2076</v>
      </c>
      <c r="CF163" s="167" t="s">
        <v>834</v>
      </c>
      <c r="CG163" s="175"/>
      <c r="CH163" s="167">
        <v>4.5</v>
      </c>
      <c r="CI163" s="168"/>
      <c r="CJ163" s="167" t="s">
        <v>834</v>
      </c>
      <c r="CK163" s="168" t="s">
        <v>2077</v>
      </c>
      <c r="CL163" s="385">
        <v>6.25</v>
      </c>
      <c r="CM163" s="168"/>
      <c r="CN163" s="385">
        <v>4.7</v>
      </c>
      <c r="CO163" s="168"/>
      <c r="CP163" s="167" t="s">
        <v>834</v>
      </c>
      <c r="CQ163" s="168" t="s">
        <v>2078</v>
      </c>
      <c r="CR163" s="489" t="s">
        <v>834</v>
      </c>
      <c r="CS163" s="427"/>
      <c r="CT163" s="455">
        <v>6.5</v>
      </c>
      <c r="CU163" s="168" t="s">
        <v>938</v>
      </c>
      <c r="CV163" s="432">
        <v>6</v>
      </c>
      <c r="CW163" s="168"/>
      <c r="CX163" s="168">
        <v>5</v>
      </c>
      <c r="CY163" s="168" t="s">
        <v>2079</v>
      </c>
      <c r="CZ163" s="173">
        <v>4</v>
      </c>
      <c r="DA163" s="171" t="s">
        <v>2051</v>
      </c>
      <c r="DB163" s="371" t="s">
        <v>546</v>
      </c>
      <c r="DC163" s="371">
        <f t="shared" si="16"/>
        <v>23</v>
      </c>
      <c r="DD163" s="371"/>
      <c r="DE163" s="371"/>
      <c r="DF163" s="371"/>
      <c r="DG163" s="371"/>
      <c r="DH163" s="371"/>
      <c r="DI163" s="371"/>
      <c r="DJ163" s="371"/>
      <c r="DK163" s="371"/>
      <c r="DL163" s="371"/>
      <c r="DM163" s="371"/>
      <c r="DN163" s="371"/>
      <c r="DO163" s="371"/>
      <c r="DP163" s="371"/>
      <c r="DQ163" s="371"/>
      <c r="DR163" s="371"/>
    </row>
    <row r="164" spans="1:122" ht="252" x14ac:dyDescent="0.3">
      <c r="A164" s="325">
        <v>518210</v>
      </c>
      <c r="B164" s="326">
        <v>122</v>
      </c>
      <c r="C164" s="575" t="s">
        <v>2080</v>
      </c>
      <c r="D164" s="576"/>
      <c r="E164" s="328" t="s">
        <v>2081</v>
      </c>
      <c r="F164" s="173" t="s">
        <v>546</v>
      </c>
      <c r="G164" s="173"/>
      <c r="H164" s="373" t="s">
        <v>834</v>
      </c>
      <c r="I164" s="427" t="s">
        <v>2053</v>
      </c>
      <c r="J164" s="173" t="s">
        <v>546</v>
      </c>
      <c r="K164" s="371"/>
      <c r="L164" s="426" t="s">
        <v>834</v>
      </c>
      <c r="M164" s="427"/>
      <c r="N164" s="173"/>
      <c r="O164" s="171" t="s">
        <v>2082</v>
      </c>
      <c r="P164" s="569">
        <v>1</v>
      </c>
      <c r="Q164" s="427" t="s">
        <v>2033</v>
      </c>
      <c r="R164" s="572">
        <v>0.39800000000000002</v>
      </c>
      <c r="S164" s="573" t="s">
        <v>837</v>
      </c>
      <c r="T164" s="428" t="s">
        <v>834</v>
      </c>
      <c r="U164" s="376"/>
      <c r="V164" s="429">
        <v>7.44</v>
      </c>
      <c r="W164" s="377" t="s">
        <v>1135</v>
      </c>
      <c r="X164" s="167"/>
      <c r="Y164" s="168"/>
      <c r="Z164" s="167"/>
      <c r="AA164" s="168"/>
      <c r="AB164" s="167" t="s">
        <v>834</v>
      </c>
      <c r="AC164" s="168"/>
      <c r="AD164" s="430" t="s">
        <v>834</v>
      </c>
      <c r="AE164" s="168"/>
      <c r="AF164" s="173" t="s">
        <v>834</v>
      </c>
      <c r="AG164" s="171"/>
      <c r="AH164" s="544" t="s">
        <v>834</v>
      </c>
      <c r="AI164" s="168"/>
      <c r="AJ164" s="373" t="s">
        <v>834</v>
      </c>
      <c r="AK164" s="431"/>
      <c r="AL164" s="167" t="s">
        <v>995</v>
      </c>
      <c r="AM164" s="168" t="s">
        <v>2083</v>
      </c>
      <c r="AN164" s="173" t="s">
        <v>546</v>
      </c>
      <c r="AO164" s="171"/>
      <c r="AP164" s="577" t="s">
        <v>834</v>
      </c>
      <c r="AQ164" s="568"/>
      <c r="AR164" s="173"/>
      <c r="AS164" s="171"/>
      <c r="AT164" s="173"/>
      <c r="AU164" s="171"/>
      <c r="AV164" s="381" t="s">
        <v>834</v>
      </c>
      <c r="AW164" s="168"/>
      <c r="AX164" s="433">
        <v>6.875</v>
      </c>
      <c r="AY164" s="427"/>
      <c r="AZ164" s="544">
        <v>7</v>
      </c>
      <c r="BA164" s="454"/>
      <c r="BB164" s="164" t="s">
        <v>834</v>
      </c>
      <c r="BC164" s="168"/>
      <c r="BD164" s="464"/>
      <c r="BE164" s="427"/>
      <c r="BF164" s="558">
        <v>5.5</v>
      </c>
      <c r="BG164" s="453" t="s">
        <v>2058</v>
      </c>
      <c r="BH164" s="432" t="s">
        <v>834</v>
      </c>
      <c r="BI164" s="168"/>
      <c r="BJ164" s="167"/>
      <c r="BK164" s="167"/>
      <c r="BL164" s="167" t="s">
        <v>834</v>
      </c>
      <c r="BM164" s="168" t="s">
        <v>2084</v>
      </c>
      <c r="BN164" s="173" t="s">
        <v>546</v>
      </c>
      <c r="BO164" s="171"/>
      <c r="BP164" s="466" t="s">
        <v>834</v>
      </c>
      <c r="BQ164" s="436"/>
      <c r="BR164" s="385">
        <v>4.75</v>
      </c>
      <c r="BS164" s="168" t="s">
        <v>2085</v>
      </c>
      <c r="BT164" s="167" t="s">
        <v>834</v>
      </c>
      <c r="BU164" s="168"/>
      <c r="BV164" s="167">
        <v>5.75</v>
      </c>
      <c r="BW164" s="168" t="s">
        <v>2060</v>
      </c>
      <c r="BX164" s="437" t="s">
        <v>546</v>
      </c>
      <c r="BY164" s="171"/>
      <c r="BZ164" s="432"/>
      <c r="CA164" s="168"/>
      <c r="CB164" s="167">
        <v>6</v>
      </c>
      <c r="CC164" s="427"/>
      <c r="CD164" s="173" t="s">
        <v>834</v>
      </c>
      <c r="CE164" s="171"/>
      <c r="CF164" s="167">
        <v>6</v>
      </c>
      <c r="CG164" s="175" t="s">
        <v>2086</v>
      </c>
      <c r="CH164" s="167">
        <v>4.5</v>
      </c>
      <c r="CI164" s="174" t="s">
        <v>2087</v>
      </c>
      <c r="CJ164" s="167">
        <v>7</v>
      </c>
      <c r="CK164" s="168" t="s">
        <v>2061</v>
      </c>
      <c r="CL164" s="467">
        <v>6.25</v>
      </c>
      <c r="CM164" s="454"/>
      <c r="CN164" s="385"/>
      <c r="CO164" s="168"/>
      <c r="CP164" s="167">
        <v>6</v>
      </c>
      <c r="CQ164" s="168"/>
      <c r="CR164" s="489" t="s">
        <v>834</v>
      </c>
      <c r="CS164" s="454" t="s">
        <v>2088</v>
      </c>
      <c r="CT164" s="455">
        <v>6.5</v>
      </c>
      <c r="CU164" s="168" t="s">
        <v>938</v>
      </c>
      <c r="CV164" s="432" t="s">
        <v>546</v>
      </c>
      <c r="CW164" s="168"/>
      <c r="CX164" s="168">
        <v>5</v>
      </c>
      <c r="CY164" s="168" t="s">
        <v>2089</v>
      </c>
      <c r="CZ164" s="173" t="s">
        <v>834</v>
      </c>
      <c r="DA164" s="171" t="s">
        <v>2090</v>
      </c>
      <c r="DB164" s="371" t="s">
        <v>546</v>
      </c>
      <c r="DC164" s="371">
        <f t="shared" si="16"/>
        <v>16</v>
      </c>
      <c r="DD164" s="371"/>
      <c r="DE164" s="371"/>
      <c r="DF164" s="371"/>
      <c r="DG164" s="371"/>
      <c r="DH164" s="371"/>
      <c r="DI164" s="371"/>
      <c r="DJ164" s="371"/>
      <c r="DK164" s="371"/>
      <c r="DL164" s="371"/>
      <c r="DM164" s="371"/>
      <c r="DN164" s="371"/>
      <c r="DO164" s="371"/>
      <c r="DP164" s="371"/>
      <c r="DQ164" s="371"/>
      <c r="DR164" s="371"/>
    </row>
    <row r="165" spans="1:122" ht="252" x14ac:dyDescent="0.3">
      <c r="A165" s="325">
        <v>518210</v>
      </c>
      <c r="B165" s="326">
        <v>123</v>
      </c>
      <c r="C165" s="575" t="s">
        <v>2091</v>
      </c>
      <c r="D165" s="576"/>
      <c r="E165" s="328" t="s">
        <v>2081</v>
      </c>
      <c r="F165" s="173" t="s">
        <v>546</v>
      </c>
      <c r="G165" s="173"/>
      <c r="H165" s="373" t="s">
        <v>834</v>
      </c>
      <c r="I165" s="427" t="s">
        <v>2053</v>
      </c>
      <c r="J165" s="173" t="s">
        <v>546</v>
      </c>
      <c r="K165" s="371"/>
      <c r="L165" s="426" t="s">
        <v>834</v>
      </c>
      <c r="M165" s="427"/>
      <c r="N165" s="173"/>
      <c r="O165" s="171" t="s">
        <v>2082</v>
      </c>
      <c r="P165" s="569">
        <v>1</v>
      </c>
      <c r="Q165" s="427" t="s">
        <v>2033</v>
      </c>
      <c r="R165" s="572">
        <v>0.39800000000000002</v>
      </c>
      <c r="S165" s="573" t="s">
        <v>837</v>
      </c>
      <c r="T165" s="469">
        <v>10</v>
      </c>
      <c r="U165" s="376" t="s">
        <v>2067</v>
      </c>
      <c r="V165" s="429">
        <v>7.44</v>
      </c>
      <c r="W165" s="377" t="s">
        <v>1135</v>
      </c>
      <c r="X165" s="167"/>
      <c r="Y165" s="168"/>
      <c r="Z165" s="167"/>
      <c r="AA165" s="168"/>
      <c r="AB165" s="167" t="s">
        <v>834</v>
      </c>
      <c r="AC165" s="168"/>
      <c r="AD165" s="430" t="s">
        <v>834</v>
      </c>
      <c r="AE165" s="168"/>
      <c r="AF165" s="173" t="s">
        <v>834</v>
      </c>
      <c r="AG165" s="171"/>
      <c r="AH165" s="544">
        <v>6</v>
      </c>
      <c r="AI165" s="168"/>
      <c r="AJ165" s="373" t="s">
        <v>834</v>
      </c>
      <c r="AK165" s="431"/>
      <c r="AL165" s="167" t="s">
        <v>995</v>
      </c>
      <c r="AM165" s="168" t="s">
        <v>2092</v>
      </c>
      <c r="AN165" s="173" t="s">
        <v>546</v>
      </c>
      <c r="AO165" s="171"/>
      <c r="AP165" s="577" t="s">
        <v>834</v>
      </c>
      <c r="AQ165" s="568"/>
      <c r="AR165" s="173"/>
      <c r="AS165" s="171"/>
      <c r="AT165" s="173"/>
      <c r="AU165" s="171"/>
      <c r="AV165" s="381" t="s">
        <v>834</v>
      </c>
      <c r="AW165" s="168"/>
      <c r="AX165" s="433">
        <v>6.875</v>
      </c>
      <c r="AY165" s="427"/>
      <c r="AZ165" s="544">
        <v>7</v>
      </c>
      <c r="BA165" s="427"/>
      <c r="BB165" s="164" t="s">
        <v>834</v>
      </c>
      <c r="BC165" s="168"/>
      <c r="BD165" s="464"/>
      <c r="BE165" s="427"/>
      <c r="BF165" s="558">
        <v>5.5</v>
      </c>
      <c r="BG165" s="453" t="s">
        <v>2058</v>
      </c>
      <c r="BH165" s="432" t="s">
        <v>834</v>
      </c>
      <c r="BI165" s="168"/>
      <c r="BJ165" s="167"/>
      <c r="BK165" s="167"/>
      <c r="BL165" s="167" t="s">
        <v>834</v>
      </c>
      <c r="BM165" s="168" t="s">
        <v>2084</v>
      </c>
      <c r="BN165" s="173" t="s">
        <v>546</v>
      </c>
      <c r="BO165" s="171"/>
      <c r="BP165" s="466" t="s">
        <v>834</v>
      </c>
      <c r="BQ165" s="436"/>
      <c r="BR165" s="167" t="s">
        <v>2093</v>
      </c>
      <c r="BS165" s="168" t="s">
        <v>2094</v>
      </c>
      <c r="BT165" s="167" t="s">
        <v>834</v>
      </c>
      <c r="BU165" s="168"/>
      <c r="BV165" s="167">
        <v>5.75</v>
      </c>
      <c r="BW165" s="168" t="s">
        <v>2060</v>
      </c>
      <c r="BX165" s="437" t="s">
        <v>546</v>
      </c>
      <c r="BY165" s="171"/>
      <c r="BZ165" s="432"/>
      <c r="CA165" s="168"/>
      <c r="CB165" s="167">
        <v>6</v>
      </c>
      <c r="CC165" s="427"/>
      <c r="CD165" s="173" t="s">
        <v>834</v>
      </c>
      <c r="CE165" s="171"/>
      <c r="CF165" s="167">
        <v>6</v>
      </c>
      <c r="CG165" s="175" t="s">
        <v>2086</v>
      </c>
      <c r="CH165" s="167">
        <v>4.5</v>
      </c>
      <c r="CI165" s="174" t="s">
        <v>2087</v>
      </c>
      <c r="CJ165" s="167">
        <v>7</v>
      </c>
      <c r="CK165" s="168" t="s">
        <v>2061</v>
      </c>
      <c r="CL165" s="467">
        <v>6.25</v>
      </c>
      <c r="CM165" s="543"/>
      <c r="CN165" s="385"/>
      <c r="CO165" s="168"/>
      <c r="CP165" s="167">
        <v>6</v>
      </c>
      <c r="CQ165" s="168"/>
      <c r="CR165" s="489" t="s">
        <v>834</v>
      </c>
      <c r="CS165" s="427"/>
      <c r="CT165" s="455">
        <v>6.5</v>
      </c>
      <c r="CU165" s="168" t="s">
        <v>938</v>
      </c>
      <c r="CV165" s="432" t="s">
        <v>546</v>
      </c>
      <c r="CW165" s="168"/>
      <c r="CX165" s="168">
        <v>5</v>
      </c>
      <c r="CY165" s="168" t="s">
        <v>2089</v>
      </c>
      <c r="CZ165" s="173" t="s">
        <v>834</v>
      </c>
      <c r="DA165" s="171" t="s">
        <v>2090</v>
      </c>
      <c r="DB165" s="371" t="s">
        <v>546</v>
      </c>
      <c r="DC165" s="371">
        <f t="shared" si="16"/>
        <v>17</v>
      </c>
      <c r="DD165" s="371"/>
      <c r="DE165" s="371"/>
      <c r="DF165" s="371"/>
      <c r="DG165" s="371"/>
      <c r="DH165" s="371"/>
      <c r="DI165" s="371"/>
      <c r="DJ165" s="371"/>
      <c r="DK165" s="371"/>
      <c r="DL165" s="371"/>
      <c r="DM165" s="371"/>
      <c r="DN165" s="371"/>
      <c r="DO165" s="371"/>
      <c r="DP165" s="371"/>
      <c r="DQ165" s="371"/>
      <c r="DR165" s="371"/>
    </row>
    <row r="166" spans="1:122" ht="18.75" x14ac:dyDescent="0.3">
      <c r="A166" s="325"/>
      <c r="B166" s="268"/>
      <c r="C166" s="456"/>
      <c r="D166" s="424"/>
      <c r="E166" s="328"/>
      <c r="F166" s="173"/>
      <c r="G166" s="173"/>
      <c r="H166" s="373"/>
      <c r="I166" s="427"/>
      <c r="J166" s="173"/>
      <c r="K166" s="371"/>
      <c r="L166" s="426"/>
      <c r="M166" s="427"/>
      <c r="N166" s="173"/>
      <c r="O166" s="171"/>
      <c r="P166" s="569"/>
      <c r="Q166" s="427"/>
      <c r="R166" s="374"/>
      <c r="S166" s="168"/>
      <c r="T166" s="428"/>
      <c r="U166" s="376"/>
      <c r="V166" s="429"/>
      <c r="W166" s="377"/>
      <c r="X166" s="167"/>
      <c r="Y166" s="168"/>
      <c r="Z166" s="167"/>
      <c r="AA166" s="168"/>
      <c r="AB166" s="167"/>
      <c r="AC166" s="168"/>
      <c r="AD166" s="430" t="s">
        <v>546</v>
      </c>
      <c r="AE166" s="168"/>
      <c r="AF166" s="173"/>
      <c r="AG166" s="171"/>
      <c r="AH166" s="167"/>
      <c r="AI166" s="168"/>
      <c r="AJ166" s="373"/>
      <c r="AK166" s="431"/>
      <c r="AL166" s="167"/>
      <c r="AM166" s="168"/>
      <c r="AN166" s="173"/>
      <c r="AO166" s="171"/>
      <c r="AP166" s="432"/>
      <c r="AQ166" s="168"/>
      <c r="AR166" s="173"/>
      <c r="AS166" s="171"/>
      <c r="AT166" s="173"/>
      <c r="AU166" s="171"/>
      <c r="AV166" s="381"/>
      <c r="AW166" s="168"/>
      <c r="AX166" s="433"/>
      <c r="AY166" s="427"/>
      <c r="AZ166" s="167"/>
      <c r="BA166" s="427"/>
      <c r="BB166" s="164"/>
      <c r="BC166" s="168"/>
      <c r="BD166" s="464"/>
      <c r="BE166" s="427"/>
      <c r="BF166" s="384"/>
      <c r="BG166" s="168"/>
      <c r="BH166" s="432"/>
      <c r="BI166" s="168"/>
      <c r="BJ166" s="167"/>
      <c r="BK166" s="167"/>
      <c r="BL166" s="167"/>
      <c r="BM166" s="168"/>
      <c r="BN166" s="173"/>
      <c r="BO166" s="171"/>
      <c r="BP166" s="435"/>
      <c r="BQ166" s="436"/>
      <c r="BR166" s="167"/>
      <c r="BS166" s="168"/>
      <c r="BT166" s="167"/>
      <c r="BU166" s="168"/>
      <c r="BV166" s="167"/>
      <c r="BW166" s="168"/>
      <c r="BX166" s="437"/>
      <c r="BY166" s="171"/>
      <c r="BZ166" s="432"/>
      <c r="CA166" s="168"/>
      <c r="CB166" s="167"/>
      <c r="CC166" s="168"/>
      <c r="CD166" s="173"/>
      <c r="CE166" s="171"/>
      <c r="CF166" s="167"/>
      <c r="CG166" s="175"/>
      <c r="CH166" s="167"/>
      <c r="CI166" s="168"/>
      <c r="CJ166" s="167"/>
      <c r="CK166" s="168"/>
      <c r="CL166" s="385"/>
      <c r="CM166" s="168"/>
      <c r="CN166" s="385"/>
      <c r="CO166" s="168"/>
      <c r="CP166" s="167"/>
      <c r="CQ166" s="168"/>
      <c r="CR166" s="373"/>
      <c r="CS166" s="427"/>
      <c r="CT166" s="432"/>
      <c r="CU166" s="168"/>
      <c r="CV166" s="432"/>
      <c r="CW166" s="168"/>
      <c r="CX166" s="168"/>
      <c r="CY166" s="168"/>
      <c r="CZ166" s="173"/>
      <c r="DA166" s="171"/>
      <c r="DB166" s="371"/>
      <c r="DC166" s="371"/>
      <c r="DD166" s="371"/>
      <c r="DE166" s="371"/>
      <c r="DF166" s="371"/>
      <c r="DG166" s="371"/>
      <c r="DH166" s="371"/>
      <c r="DI166" s="371"/>
      <c r="DJ166" s="371"/>
      <c r="DK166" s="371"/>
      <c r="DL166" s="371"/>
      <c r="DM166" s="371"/>
      <c r="DN166" s="371"/>
      <c r="DO166" s="371"/>
      <c r="DP166" s="371"/>
      <c r="DQ166" s="371"/>
      <c r="DR166" s="371"/>
    </row>
    <row r="167" spans="1:122" ht="18.75" x14ac:dyDescent="0.3">
      <c r="A167" s="389"/>
      <c r="B167" s="448"/>
      <c r="C167" s="391" t="s">
        <v>2095</v>
      </c>
      <c r="D167" s="392" t="s">
        <v>832</v>
      </c>
      <c r="E167" s="393"/>
      <c r="F167" s="394" t="s">
        <v>832</v>
      </c>
      <c r="G167" s="394"/>
      <c r="H167" s="394" t="s">
        <v>832</v>
      </c>
      <c r="I167" s="401"/>
      <c r="J167" s="438" t="s">
        <v>832</v>
      </c>
      <c r="K167" s="397"/>
      <c r="L167" s="438" t="s">
        <v>832</v>
      </c>
      <c r="M167" s="401"/>
      <c r="N167" s="400" t="s">
        <v>832</v>
      </c>
      <c r="O167" s="172"/>
      <c r="P167" s="578" t="s">
        <v>832</v>
      </c>
      <c r="Q167" s="401"/>
      <c r="R167" s="400" t="s">
        <v>832</v>
      </c>
      <c r="S167" s="170"/>
      <c r="T167" s="400" t="s">
        <v>832</v>
      </c>
      <c r="U167" s="404"/>
      <c r="V167" s="578" t="s">
        <v>832</v>
      </c>
      <c r="W167" s="406"/>
      <c r="X167" s="400" t="s">
        <v>832</v>
      </c>
      <c r="Y167" s="170"/>
      <c r="Z167" s="400" t="s">
        <v>832</v>
      </c>
      <c r="AA167" s="170"/>
      <c r="AB167" s="400" t="s">
        <v>832</v>
      </c>
      <c r="AC167" s="170"/>
      <c r="AD167" s="408" t="s">
        <v>832</v>
      </c>
      <c r="AE167" s="170"/>
      <c r="AF167" s="408" t="s">
        <v>832</v>
      </c>
      <c r="AG167" s="172"/>
      <c r="AH167" s="408" t="s">
        <v>832</v>
      </c>
      <c r="AI167" s="170"/>
      <c r="AJ167" s="408" t="s">
        <v>832</v>
      </c>
      <c r="AK167" s="409"/>
      <c r="AL167" s="407" t="s">
        <v>832</v>
      </c>
      <c r="AM167" s="170"/>
      <c r="AN167" s="491" t="s">
        <v>832</v>
      </c>
      <c r="AO167" s="172"/>
      <c r="AP167" s="408" t="s">
        <v>832</v>
      </c>
      <c r="AQ167" s="170"/>
      <c r="AR167" s="438" t="s">
        <v>832</v>
      </c>
      <c r="AS167" s="172"/>
      <c r="AT167" s="438" t="s">
        <v>832</v>
      </c>
      <c r="AU167" s="172"/>
      <c r="AV167" s="408" t="s">
        <v>832</v>
      </c>
      <c r="AW167" s="170"/>
      <c r="AX167" s="408" t="s">
        <v>832</v>
      </c>
      <c r="AY167" s="401"/>
      <c r="AZ167" s="407" t="s">
        <v>832</v>
      </c>
      <c r="BA167" s="401"/>
      <c r="BB167" s="408" t="s">
        <v>832</v>
      </c>
      <c r="BC167" s="170"/>
      <c r="BD167" s="407" t="s">
        <v>832</v>
      </c>
      <c r="BE167" s="401"/>
      <c r="BF167" s="407" t="s">
        <v>832</v>
      </c>
      <c r="BG167" s="170"/>
      <c r="BH167" s="408" t="s">
        <v>832</v>
      </c>
      <c r="BI167" s="170"/>
      <c r="BJ167" s="407" t="s">
        <v>832</v>
      </c>
      <c r="BK167" s="407"/>
      <c r="BL167" s="408" t="s">
        <v>832</v>
      </c>
      <c r="BM167" s="170"/>
      <c r="BN167" s="491" t="s">
        <v>832</v>
      </c>
      <c r="BO167" s="172"/>
      <c r="BP167" s="408" t="s">
        <v>832</v>
      </c>
      <c r="BQ167" s="419"/>
      <c r="BR167" s="407" t="s">
        <v>832</v>
      </c>
      <c r="BS167" s="170"/>
      <c r="BT167" s="408" t="s">
        <v>832</v>
      </c>
      <c r="BU167" s="170"/>
      <c r="BV167" s="407" t="s">
        <v>832</v>
      </c>
      <c r="BW167" s="170"/>
      <c r="BX167" s="438" t="s">
        <v>832</v>
      </c>
      <c r="BY167" s="172"/>
      <c r="BZ167" s="408" t="s">
        <v>832</v>
      </c>
      <c r="CA167" s="170"/>
      <c r="CB167" s="408" t="s">
        <v>832</v>
      </c>
      <c r="CC167" s="170"/>
      <c r="CD167" s="407" t="s">
        <v>832</v>
      </c>
      <c r="CE167" s="172"/>
      <c r="CF167" s="408" t="s">
        <v>832</v>
      </c>
      <c r="CG167" s="399"/>
      <c r="CH167" s="408" t="s">
        <v>832</v>
      </c>
      <c r="CI167" s="170"/>
      <c r="CJ167" s="408" t="s">
        <v>832</v>
      </c>
      <c r="CK167" s="170"/>
      <c r="CL167" s="407" t="s">
        <v>832</v>
      </c>
      <c r="CM167" s="170"/>
      <c r="CN167" s="407" t="s">
        <v>832</v>
      </c>
      <c r="CO167" s="170"/>
      <c r="CP167" s="408" t="s">
        <v>832</v>
      </c>
      <c r="CQ167" s="170"/>
      <c r="CR167" s="408" t="s">
        <v>832</v>
      </c>
      <c r="CS167" s="401"/>
      <c r="CT167" s="408" t="s">
        <v>832</v>
      </c>
      <c r="CU167" s="170"/>
      <c r="CV167" s="407" t="s">
        <v>832</v>
      </c>
      <c r="CW167" s="170"/>
      <c r="CX167" s="407" t="s">
        <v>832</v>
      </c>
      <c r="CY167" s="170"/>
      <c r="CZ167" s="407" t="s">
        <v>832</v>
      </c>
      <c r="DA167" s="172"/>
      <c r="DB167" s="397"/>
      <c r="DC167" s="397"/>
      <c r="DD167" s="397"/>
      <c r="DE167" s="397"/>
      <c r="DF167" s="397"/>
      <c r="DG167" s="397"/>
      <c r="DH167" s="397"/>
      <c r="DI167" s="397"/>
      <c r="DJ167" s="397"/>
      <c r="DK167" s="397"/>
      <c r="DL167" s="397"/>
      <c r="DM167" s="397"/>
      <c r="DN167" s="397"/>
      <c r="DO167" s="397"/>
      <c r="DP167" s="397"/>
      <c r="DQ167" s="397"/>
      <c r="DR167" s="397"/>
    </row>
    <row r="168" spans="1:122" ht="18.75" x14ac:dyDescent="0.3">
      <c r="A168" s="325">
        <v>811192</v>
      </c>
      <c r="B168" s="326">
        <v>124</v>
      </c>
      <c r="C168" s="327" t="s">
        <v>2096</v>
      </c>
      <c r="D168" s="424" t="s">
        <v>834</v>
      </c>
      <c r="E168" s="328"/>
      <c r="F168" s="173"/>
      <c r="G168" s="173"/>
      <c r="H168" s="373">
        <v>6.5</v>
      </c>
      <c r="I168" s="175" t="s">
        <v>2097</v>
      </c>
      <c r="J168" s="173" t="s">
        <v>834</v>
      </c>
      <c r="K168" s="371"/>
      <c r="L168" s="426" t="s">
        <v>834</v>
      </c>
      <c r="M168" s="427" t="s">
        <v>546</v>
      </c>
      <c r="N168" s="173" t="s">
        <v>834</v>
      </c>
      <c r="O168" s="171"/>
      <c r="P168" s="445">
        <v>6.35</v>
      </c>
      <c r="Q168" s="427"/>
      <c r="R168" s="457">
        <v>0.39800000000000002</v>
      </c>
      <c r="S168" s="175" t="s">
        <v>837</v>
      </c>
      <c r="T168" s="428">
        <v>5.75</v>
      </c>
      <c r="U168" s="376" t="s">
        <v>2098</v>
      </c>
      <c r="V168" s="441">
        <v>6</v>
      </c>
      <c r="W168" s="377" t="s">
        <v>2099</v>
      </c>
      <c r="X168" s="167" t="s">
        <v>834</v>
      </c>
      <c r="Y168" s="168" t="s">
        <v>856</v>
      </c>
      <c r="Z168" s="167">
        <v>4</v>
      </c>
      <c r="AA168" s="168"/>
      <c r="AB168" s="167" t="s">
        <v>834</v>
      </c>
      <c r="AC168" s="168"/>
      <c r="AD168" s="430" t="s">
        <v>834</v>
      </c>
      <c r="AE168" s="168"/>
      <c r="AF168" s="173" t="s">
        <v>834</v>
      </c>
      <c r="AG168" s="171"/>
      <c r="AH168" s="167">
        <v>6</v>
      </c>
      <c r="AI168" s="168" t="s">
        <v>546</v>
      </c>
      <c r="AJ168" s="373">
        <v>6.5</v>
      </c>
      <c r="AK168" s="431" t="s">
        <v>863</v>
      </c>
      <c r="AL168" s="167" t="s">
        <v>834</v>
      </c>
      <c r="AM168" s="168"/>
      <c r="AN168" s="173" t="s">
        <v>834</v>
      </c>
      <c r="AO168" s="171" t="s">
        <v>2100</v>
      </c>
      <c r="AP168" s="432" t="s">
        <v>834</v>
      </c>
      <c r="AQ168" s="168" t="s">
        <v>2101</v>
      </c>
      <c r="AR168" s="173" t="s">
        <v>834</v>
      </c>
      <c r="AS168" s="171"/>
      <c r="AT168" s="173" t="s">
        <v>834</v>
      </c>
      <c r="AU168" s="171"/>
      <c r="AV168" s="381" t="s">
        <v>834</v>
      </c>
      <c r="AW168" s="167"/>
      <c r="AX168" s="433">
        <v>6.875</v>
      </c>
      <c r="AY168" s="427"/>
      <c r="AZ168" s="167">
        <v>7</v>
      </c>
      <c r="BA168" s="462" t="s">
        <v>2102</v>
      </c>
      <c r="BB168" s="164" t="s">
        <v>834</v>
      </c>
      <c r="BC168" s="167"/>
      <c r="BD168" s="464"/>
      <c r="BE168" s="427"/>
      <c r="BF168" s="384">
        <v>5.5</v>
      </c>
      <c r="BG168" s="168" t="s">
        <v>2103</v>
      </c>
      <c r="BH168" s="432" t="s">
        <v>834</v>
      </c>
      <c r="BI168" s="168" t="s">
        <v>546</v>
      </c>
      <c r="BJ168" s="167" t="s">
        <v>546</v>
      </c>
      <c r="BK168" s="167"/>
      <c r="BL168" s="167">
        <v>6.875</v>
      </c>
      <c r="BM168" s="167"/>
      <c r="BN168" s="173">
        <v>5.125</v>
      </c>
      <c r="BO168" s="171"/>
      <c r="BP168" s="435">
        <v>4</v>
      </c>
      <c r="BQ168" s="436" t="s">
        <v>2104</v>
      </c>
      <c r="BR168" s="385">
        <v>4.75</v>
      </c>
      <c r="BS168" s="168" t="s">
        <v>2105</v>
      </c>
      <c r="BT168" s="167" t="s">
        <v>834</v>
      </c>
      <c r="BU168" s="168" t="s">
        <v>1641</v>
      </c>
      <c r="BV168" s="441">
        <v>5.75</v>
      </c>
      <c r="BW168" s="168" t="s">
        <v>2106</v>
      </c>
      <c r="BX168" s="437" t="s">
        <v>834</v>
      </c>
      <c r="BY168" s="171"/>
      <c r="BZ168" s="432"/>
      <c r="CA168" s="168"/>
      <c r="CB168" s="167">
        <v>6</v>
      </c>
      <c r="CC168" s="167"/>
      <c r="CD168" s="173" t="s">
        <v>834</v>
      </c>
      <c r="CE168" s="171" t="s">
        <v>546</v>
      </c>
      <c r="CF168" s="167" t="s">
        <v>834</v>
      </c>
      <c r="CG168" s="175"/>
      <c r="CH168" s="167">
        <v>4.5</v>
      </c>
      <c r="CI168" s="168"/>
      <c r="CJ168" s="167">
        <v>7</v>
      </c>
      <c r="CK168" s="444" t="s">
        <v>2107</v>
      </c>
      <c r="CL168" s="385" t="s">
        <v>834</v>
      </c>
      <c r="CM168" s="168" t="s">
        <v>546</v>
      </c>
      <c r="CN168" s="385">
        <v>4.7</v>
      </c>
      <c r="CO168" s="167"/>
      <c r="CP168" s="167" t="s">
        <v>834</v>
      </c>
      <c r="CQ168" s="167"/>
      <c r="CR168" s="373" t="s">
        <v>834</v>
      </c>
      <c r="CS168" s="373"/>
      <c r="CT168" s="432">
        <v>6.5</v>
      </c>
      <c r="CU168" s="168" t="s">
        <v>938</v>
      </c>
      <c r="CV168" s="432">
        <v>6</v>
      </c>
      <c r="CW168" s="168"/>
      <c r="CX168" s="168">
        <v>5</v>
      </c>
      <c r="CY168" s="168" t="s">
        <v>546</v>
      </c>
      <c r="CZ168" s="173">
        <v>4</v>
      </c>
      <c r="DA168" s="171" t="s">
        <v>2108</v>
      </c>
      <c r="DB168" s="371" t="s">
        <v>546</v>
      </c>
      <c r="DC168" s="371">
        <f t="shared" ref="DC168:DC172" si="17">COUNT(D168:CZ168)</f>
        <v>24</v>
      </c>
      <c r="DD168" s="371"/>
      <c r="DE168" s="371"/>
      <c r="DF168" s="371"/>
      <c r="DG168" s="371"/>
      <c r="DH168" s="371"/>
      <c r="DI168" s="371"/>
      <c r="DJ168" s="371"/>
      <c r="DK168" s="371"/>
      <c r="DL168" s="371"/>
      <c r="DM168" s="371"/>
      <c r="DN168" s="371"/>
      <c r="DO168" s="371"/>
      <c r="DP168" s="371"/>
      <c r="DQ168" s="371"/>
      <c r="DR168" s="371"/>
    </row>
    <row r="169" spans="1:122" ht="18.75" x14ac:dyDescent="0.3">
      <c r="A169" s="325">
        <v>488410</v>
      </c>
      <c r="B169" s="326">
        <v>125</v>
      </c>
      <c r="C169" s="327" t="s">
        <v>2109</v>
      </c>
      <c r="D169" s="424" t="s">
        <v>834</v>
      </c>
      <c r="E169" s="328"/>
      <c r="F169" s="173"/>
      <c r="G169" s="173"/>
      <c r="H169" s="373">
        <v>6.5</v>
      </c>
      <c r="I169" s="427" t="s">
        <v>2110</v>
      </c>
      <c r="J169" s="173" t="s">
        <v>834</v>
      </c>
      <c r="K169" s="371" t="s">
        <v>2111</v>
      </c>
      <c r="L169" s="426" t="s">
        <v>834</v>
      </c>
      <c r="M169" s="427"/>
      <c r="N169" s="173" t="s">
        <v>834</v>
      </c>
      <c r="O169" s="171"/>
      <c r="P169" s="445">
        <v>6.35</v>
      </c>
      <c r="Q169" s="427"/>
      <c r="R169" s="457">
        <v>0.39800000000000002</v>
      </c>
      <c r="S169" s="175" t="s">
        <v>837</v>
      </c>
      <c r="T169" s="428" t="s">
        <v>834</v>
      </c>
      <c r="U169" s="376" t="s">
        <v>2112</v>
      </c>
      <c r="V169" s="441" t="s">
        <v>834</v>
      </c>
      <c r="W169" s="377"/>
      <c r="X169" s="167" t="s">
        <v>834</v>
      </c>
      <c r="Y169" s="168" t="s">
        <v>856</v>
      </c>
      <c r="Z169" s="167">
        <v>4</v>
      </c>
      <c r="AA169" s="168"/>
      <c r="AB169" s="167" t="s">
        <v>834</v>
      </c>
      <c r="AC169" s="168"/>
      <c r="AD169" s="430" t="s">
        <v>834</v>
      </c>
      <c r="AE169" s="168"/>
      <c r="AF169" s="173" t="s">
        <v>834</v>
      </c>
      <c r="AG169" s="171"/>
      <c r="AH169" s="167">
        <v>6</v>
      </c>
      <c r="AI169" s="168"/>
      <c r="AJ169" s="373">
        <v>6.5</v>
      </c>
      <c r="AK169" s="431" t="s">
        <v>2113</v>
      </c>
      <c r="AL169" s="167" t="s">
        <v>834</v>
      </c>
      <c r="AM169" s="168"/>
      <c r="AN169" s="173" t="s">
        <v>834</v>
      </c>
      <c r="AO169" s="171" t="s">
        <v>2114</v>
      </c>
      <c r="AP169" s="432" t="s">
        <v>834</v>
      </c>
      <c r="AQ169" s="168"/>
      <c r="AR169" s="173" t="s">
        <v>834</v>
      </c>
      <c r="AS169" s="171"/>
      <c r="AT169" s="173" t="s">
        <v>834</v>
      </c>
      <c r="AU169" s="171"/>
      <c r="AV169" s="381" t="s">
        <v>834</v>
      </c>
      <c r="AW169" s="167"/>
      <c r="AX169" s="433">
        <v>6.875</v>
      </c>
      <c r="AY169" s="427"/>
      <c r="AZ169" s="167" t="s">
        <v>834</v>
      </c>
      <c r="BA169" s="427" t="s">
        <v>2115</v>
      </c>
      <c r="BB169" s="164" t="s">
        <v>834</v>
      </c>
      <c r="BC169" s="167"/>
      <c r="BD169" s="464"/>
      <c r="BE169" s="427"/>
      <c r="BF169" s="384">
        <v>5.5</v>
      </c>
      <c r="BG169" s="168" t="s">
        <v>2103</v>
      </c>
      <c r="BH169" s="432" t="s">
        <v>834</v>
      </c>
      <c r="BI169" s="167"/>
      <c r="BJ169" s="167"/>
      <c r="BK169" s="167"/>
      <c r="BL169" s="167">
        <v>6.875</v>
      </c>
      <c r="BM169" s="168" t="s">
        <v>2116</v>
      </c>
      <c r="BN169" s="173">
        <v>5.125</v>
      </c>
      <c r="BO169" s="171"/>
      <c r="BP169" s="435">
        <v>4</v>
      </c>
      <c r="BQ169" s="436"/>
      <c r="BR169" s="373" t="s">
        <v>834</v>
      </c>
      <c r="BS169" s="168" t="s">
        <v>2117</v>
      </c>
      <c r="BT169" s="167" t="s">
        <v>834</v>
      </c>
      <c r="BU169" s="168" t="s">
        <v>1641</v>
      </c>
      <c r="BV169" s="429">
        <v>5.75</v>
      </c>
      <c r="BW169" s="168" t="s">
        <v>2118</v>
      </c>
      <c r="BX169" s="437" t="s">
        <v>834</v>
      </c>
      <c r="BY169" s="171"/>
      <c r="BZ169" s="432"/>
      <c r="CA169" s="168"/>
      <c r="CB169" s="167">
        <v>6</v>
      </c>
      <c r="CC169" s="168" t="s">
        <v>2119</v>
      </c>
      <c r="CD169" s="173" t="s">
        <v>834</v>
      </c>
      <c r="CE169" s="171"/>
      <c r="CF169" s="167" t="s">
        <v>834</v>
      </c>
      <c r="CG169" s="175"/>
      <c r="CH169" s="167">
        <v>4.5</v>
      </c>
      <c r="CI169" s="168"/>
      <c r="CJ169" s="167">
        <v>7</v>
      </c>
      <c r="CK169" s="175" t="s">
        <v>2120</v>
      </c>
      <c r="CL169" s="385" t="s">
        <v>834</v>
      </c>
      <c r="CM169" s="168"/>
      <c r="CN169" s="385">
        <v>4.7</v>
      </c>
      <c r="CO169" s="168" t="s">
        <v>2121</v>
      </c>
      <c r="CP169" s="167" t="s">
        <v>834</v>
      </c>
      <c r="CQ169" s="167"/>
      <c r="CR169" s="373" t="s">
        <v>834</v>
      </c>
      <c r="CS169" s="373"/>
      <c r="CT169" s="432">
        <v>6.5</v>
      </c>
      <c r="CU169" s="168" t="s">
        <v>938</v>
      </c>
      <c r="CV169" s="432">
        <v>6</v>
      </c>
      <c r="CW169" s="168"/>
      <c r="CX169" s="168">
        <v>5</v>
      </c>
      <c r="CY169" s="168"/>
      <c r="CZ169" s="173">
        <v>4</v>
      </c>
      <c r="DA169" s="171" t="s">
        <v>2122</v>
      </c>
      <c r="DB169" s="371" t="s">
        <v>546</v>
      </c>
      <c r="DC169" s="371">
        <f t="shared" si="17"/>
        <v>20</v>
      </c>
      <c r="DD169" s="371"/>
      <c r="DE169" s="371"/>
      <c r="DF169" s="371"/>
      <c r="DG169" s="371"/>
      <c r="DH169" s="371"/>
      <c r="DI169" s="371"/>
      <c r="DJ169" s="371"/>
      <c r="DK169" s="371"/>
      <c r="DL169" s="371"/>
      <c r="DM169" s="371"/>
      <c r="DN169" s="371"/>
      <c r="DO169" s="371"/>
      <c r="DP169" s="371"/>
      <c r="DQ169" s="371"/>
      <c r="DR169" s="371"/>
    </row>
    <row r="170" spans="1:122" ht="18.75" x14ac:dyDescent="0.3">
      <c r="A170" s="325">
        <v>81119</v>
      </c>
      <c r="B170" s="326">
        <v>126</v>
      </c>
      <c r="C170" s="327" t="s">
        <v>2123</v>
      </c>
      <c r="D170" s="424" t="s">
        <v>834</v>
      </c>
      <c r="E170" s="328"/>
      <c r="F170" s="173"/>
      <c r="G170" s="173"/>
      <c r="H170" s="373">
        <v>6.5</v>
      </c>
      <c r="I170" s="427" t="s">
        <v>2124</v>
      </c>
      <c r="J170" s="173" t="s">
        <v>834</v>
      </c>
      <c r="K170" s="371" t="s">
        <v>2125</v>
      </c>
      <c r="L170" s="426">
        <v>7.25</v>
      </c>
      <c r="M170" s="427" t="s">
        <v>2126</v>
      </c>
      <c r="N170" s="173" t="s">
        <v>834</v>
      </c>
      <c r="O170" s="171"/>
      <c r="P170" s="445">
        <v>6.35</v>
      </c>
      <c r="Q170" s="427"/>
      <c r="R170" s="457">
        <v>0.39800000000000002</v>
      </c>
      <c r="S170" s="175" t="s">
        <v>837</v>
      </c>
      <c r="T170" s="428">
        <v>5.75</v>
      </c>
      <c r="U170" s="376" t="s">
        <v>546</v>
      </c>
      <c r="V170" s="429">
        <v>6</v>
      </c>
      <c r="W170" s="377" t="s">
        <v>2127</v>
      </c>
      <c r="X170" s="167" t="s">
        <v>834</v>
      </c>
      <c r="Y170" s="168" t="s">
        <v>856</v>
      </c>
      <c r="Z170" s="167">
        <v>4</v>
      </c>
      <c r="AA170" s="168"/>
      <c r="AB170" s="167" t="s">
        <v>834</v>
      </c>
      <c r="AC170" s="168"/>
      <c r="AD170" s="430" t="s">
        <v>834</v>
      </c>
      <c r="AE170" s="168"/>
      <c r="AF170" s="173" t="s">
        <v>834</v>
      </c>
      <c r="AG170" s="171"/>
      <c r="AH170" s="167">
        <v>6</v>
      </c>
      <c r="AI170" s="168" t="s">
        <v>546</v>
      </c>
      <c r="AJ170" s="373">
        <v>6.5</v>
      </c>
      <c r="AK170" s="431" t="s">
        <v>863</v>
      </c>
      <c r="AL170" s="167" t="s">
        <v>834</v>
      </c>
      <c r="AM170" s="168" t="s">
        <v>2128</v>
      </c>
      <c r="AN170" s="173">
        <v>5</v>
      </c>
      <c r="AO170" s="171"/>
      <c r="AP170" s="432" t="s">
        <v>834</v>
      </c>
      <c r="AQ170" s="168" t="s">
        <v>2101</v>
      </c>
      <c r="AR170" s="173" t="s">
        <v>834</v>
      </c>
      <c r="AS170" s="171"/>
      <c r="AT170" s="173" t="s">
        <v>834</v>
      </c>
      <c r="AU170" s="171"/>
      <c r="AV170" s="381" t="s">
        <v>834</v>
      </c>
      <c r="AW170" s="167"/>
      <c r="AX170" s="443" t="s">
        <v>834</v>
      </c>
      <c r="AY170" s="427" t="s">
        <v>2129</v>
      </c>
      <c r="AZ170" s="167">
        <v>7</v>
      </c>
      <c r="BA170" s="427"/>
      <c r="BB170" s="164" t="s">
        <v>834</v>
      </c>
      <c r="BC170" s="167"/>
      <c r="BD170" s="464"/>
      <c r="BE170" s="427"/>
      <c r="BF170" s="558" t="s">
        <v>995</v>
      </c>
      <c r="BG170" s="168" t="s">
        <v>2130</v>
      </c>
      <c r="BH170" s="432">
        <v>6.85</v>
      </c>
      <c r="BI170" s="168" t="s">
        <v>2131</v>
      </c>
      <c r="BJ170" s="167" t="s">
        <v>546</v>
      </c>
      <c r="BK170" s="167"/>
      <c r="BL170" s="167">
        <v>6.875</v>
      </c>
      <c r="BM170" s="167"/>
      <c r="BN170" s="173">
        <v>5.125</v>
      </c>
      <c r="BO170" s="171"/>
      <c r="BP170" s="435">
        <v>4</v>
      </c>
      <c r="BQ170" s="436" t="s">
        <v>546</v>
      </c>
      <c r="BR170" s="385">
        <v>4.75</v>
      </c>
      <c r="BS170" s="167"/>
      <c r="BT170" s="167" t="s">
        <v>834</v>
      </c>
      <c r="BU170" s="168" t="s">
        <v>1641</v>
      </c>
      <c r="BV170" s="429">
        <v>5.75</v>
      </c>
      <c r="BW170" s="168" t="s">
        <v>2132</v>
      </c>
      <c r="BX170" s="437" t="s">
        <v>834</v>
      </c>
      <c r="BY170" s="171"/>
      <c r="BZ170" s="432"/>
      <c r="CA170" s="168"/>
      <c r="CB170" s="167">
        <v>6</v>
      </c>
      <c r="CC170" s="167"/>
      <c r="CD170" s="173" t="s">
        <v>834</v>
      </c>
      <c r="CE170" s="171" t="s">
        <v>546</v>
      </c>
      <c r="CF170" s="167" t="s">
        <v>834</v>
      </c>
      <c r="CG170" s="175" t="s">
        <v>2133</v>
      </c>
      <c r="CH170" s="167">
        <v>4.5</v>
      </c>
      <c r="CI170" s="168"/>
      <c r="CJ170" s="167">
        <v>7</v>
      </c>
      <c r="CK170" s="168" t="s">
        <v>546</v>
      </c>
      <c r="CL170" s="385" t="s">
        <v>834</v>
      </c>
      <c r="CM170" s="168" t="s">
        <v>2134</v>
      </c>
      <c r="CN170" s="385">
        <v>4.7</v>
      </c>
      <c r="CO170" s="167"/>
      <c r="CP170" s="167" t="s">
        <v>834</v>
      </c>
      <c r="CQ170" s="167"/>
      <c r="CR170" s="373" t="s">
        <v>834</v>
      </c>
      <c r="CS170" s="373"/>
      <c r="CT170" s="432">
        <v>6.5</v>
      </c>
      <c r="CU170" s="168" t="s">
        <v>938</v>
      </c>
      <c r="CV170" s="432">
        <v>6</v>
      </c>
      <c r="CW170" s="168"/>
      <c r="CX170" s="168">
        <v>5</v>
      </c>
      <c r="CY170" s="168" t="s">
        <v>546</v>
      </c>
      <c r="CZ170" s="173">
        <v>4</v>
      </c>
      <c r="DA170" s="171" t="s">
        <v>2135</v>
      </c>
      <c r="DB170" s="371" t="s">
        <v>546</v>
      </c>
      <c r="DC170" s="371">
        <f t="shared" si="17"/>
        <v>25</v>
      </c>
      <c r="DD170" s="371"/>
      <c r="DE170" s="371"/>
      <c r="DF170" s="371"/>
      <c r="DG170" s="371"/>
      <c r="DH170" s="371"/>
      <c r="DI170" s="371"/>
      <c r="DJ170" s="371"/>
      <c r="DK170" s="371"/>
      <c r="DL170" s="371"/>
      <c r="DM170" s="371"/>
      <c r="DN170" s="371"/>
      <c r="DO170" s="371"/>
      <c r="DP170" s="371"/>
      <c r="DQ170" s="371"/>
      <c r="DR170" s="371"/>
    </row>
    <row r="171" spans="1:122" ht="18.75" x14ac:dyDescent="0.3">
      <c r="A171" s="325">
        <v>81293</v>
      </c>
      <c r="B171" s="326">
        <v>127</v>
      </c>
      <c r="C171" s="327" t="s">
        <v>2136</v>
      </c>
      <c r="D171" s="424" t="s">
        <v>834</v>
      </c>
      <c r="E171" s="440" t="s">
        <v>546</v>
      </c>
      <c r="F171" s="173"/>
      <c r="G171" s="173"/>
      <c r="H171" s="373">
        <v>6.5</v>
      </c>
      <c r="I171" s="427"/>
      <c r="J171" s="173">
        <v>5.6</v>
      </c>
      <c r="K171" s="371" t="s">
        <v>2137</v>
      </c>
      <c r="L171" s="426" t="s">
        <v>834</v>
      </c>
      <c r="M171" s="427"/>
      <c r="N171" s="173" t="s">
        <v>834</v>
      </c>
      <c r="O171" s="171"/>
      <c r="P171" s="445">
        <v>6.35</v>
      </c>
      <c r="Q171" s="427" t="s">
        <v>2138</v>
      </c>
      <c r="R171" s="457">
        <v>0.39800000000000002</v>
      </c>
      <c r="S171" s="175" t="s">
        <v>2139</v>
      </c>
      <c r="T171" s="469">
        <v>18</v>
      </c>
      <c r="U171" s="376" t="s">
        <v>2140</v>
      </c>
      <c r="V171" s="429">
        <v>6</v>
      </c>
      <c r="W171" s="377"/>
      <c r="X171" s="167" t="s">
        <v>834</v>
      </c>
      <c r="Y171" s="168" t="s">
        <v>856</v>
      </c>
      <c r="Z171" s="167">
        <v>4</v>
      </c>
      <c r="AA171" s="168" t="s">
        <v>2141</v>
      </c>
      <c r="AB171" s="167" t="s">
        <v>834</v>
      </c>
      <c r="AC171" s="168"/>
      <c r="AD171" s="430" t="s">
        <v>995</v>
      </c>
      <c r="AE171" s="168" t="s">
        <v>2142</v>
      </c>
      <c r="AF171" s="173" t="s">
        <v>834</v>
      </c>
      <c r="AG171" s="171"/>
      <c r="AH171" s="167">
        <v>6</v>
      </c>
      <c r="AI171" s="168"/>
      <c r="AJ171" s="373" t="s">
        <v>834</v>
      </c>
      <c r="AK171" s="431"/>
      <c r="AL171" s="167" t="s">
        <v>834</v>
      </c>
      <c r="AM171" s="168"/>
      <c r="AN171" s="173">
        <v>5</v>
      </c>
      <c r="AO171" s="171"/>
      <c r="AP171" s="432" t="s">
        <v>834</v>
      </c>
      <c r="AQ171" s="168"/>
      <c r="AR171" s="173" t="s">
        <v>834</v>
      </c>
      <c r="AS171" s="171"/>
      <c r="AT171" s="173" t="s">
        <v>834</v>
      </c>
      <c r="AU171" s="171"/>
      <c r="AV171" s="381" t="s">
        <v>834</v>
      </c>
      <c r="AW171" s="168" t="s">
        <v>2143</v>
      </c>
      <c r="AX171" s="443">
        <v>6.875</v>
      </c>
      <c r="AY171" s="427" t="s">
        <v>2144</v>
      </c>
      <c r="AZ171" s="167">
        <v>7</v>
      </c>
      <c r="BA171" s="427"/>
      <c r="BB171" s="164" t="s">
        <v>834</v>
      </c>
      <c r="BC171" s="168"/>
      <c r="BD171" s="464"/>
      <c r="BE171" s="427"/>
      <c r="BF171" s="384" t="s">
        <v>834</v>
      </c>
      <c r="BG171" s="168"/>
      <c r="BH171" s="432" t="s">
        <v>834</v>
      </c>
      <c r="BI171" s="168"/>
      <c r="BJ171" s="167"/>
      <c r="BK171" s="167"/>
      <c r="BL171" s="167">
        <v>6.875</v>
      </c>
      <c r="BM171" s="168"/>
      <c r="BN171" s="173">
        <v>5.125</v>
      </c>
      <c r="BO171" s="171" t="s">
        <v>2145</v>
      </c>
      <c r="BP171" s="435">
        <v>4</v>
      </c>
      <c r="BQ171" s="436" t="s">
        <v>1037</v>
      </c>
      <c r="BR171" s="167" t="s">
        <v>834</v>
      </c>
      <c r="BS171" s="168"/>
      <c r="BT171" s="167" t="s">
        <v>834</v>
      </c>
      <c r="BU171" s="168"/>
      <c r="BV171" s="167" t="s">
        <v>834</v>
      </c>
      <c r="BW171" s="168"/>
      <c r="BX171" s="437">
        <v>4.5</v>
      </c>
      <c r="BY171" s="171" t="s">
        <v>2146</v>
      </c>
      <c r="BZ171" s="432" t="s">
        <v>546</v>
      </c>
      <c r="CA171" s="168"/>
      <c r="CB171" s="167" t="s">
        <v>834</v>
      </c>
      <c r="CC171" s="168" t="s">
        <v>2147</v>
      </c>
      <c r="CD171" s="173" t="s">
        <v>834</v>
      </c>
      <c r="CE171" s="171"/>
      <c r="CF171" s="167" t="s">
        <v>834</v>
      </c>
      <c r="CG171" s="175"/>
      <c r="CH171" s="167">
        <v>4.5</v>
      </c>
      <c r="CI171" s="168"/>
      <c r="CJ171" s="167">
        <v>7</v>
      </c>
      <c r="CK171" s="175" t="s">
        <v>2148</v>
      </c>
      <c r="CL171" s="385">
        <v>6.25</v>
      </c>
      <c r="CM171" s="168" t="s">
        <v>2149</v>
      </c>
      <c r="CN171" s="385" t="s">
        <v>834</v>
      </c>
      <c r="CO171" s="168"/>
      <c r="CP171" s="167" t="s">
        <v>834</v>
      </c>
      <c r="CQ171" s="168"/>
      <c r="CR171" s="373" t="s">
        <v>834</v>
      </c>
      <c r="CS171" s="427"/>
      <c r="CT171" s="432">
        <v>6.5</v>
      </c>
      <c r="CU171" s="168" t="s">
        <v>938</v>
      </c>
      <c r="CV171" s="432">
        <v>6</v>
      </c>
      <c r="CW171" s="168"/>
      <c r="CX171" s="168">
        <v>5</v>
      </c>
      <c r="CY171" s="168"/>
      <c r="CZ171" s="173" t="s">
        <v>834</v>
      </c>
      <c r="DA171" s="171" t="s">
        <v>1043</v>
      </c>
      <c r="DB171" s="371" t="s">
        <v>546</v>
      </c>
      <c r="DC171" s="371">
        <f t="shared" si="17"/>
        <v>21</v>
      </c>
      <c r="DD171" s="371"/>
      <c r="DE171" s="371"/>
      <c r="DF171" s="371"/>
      <c r="DG171" s="371"/>
      <c r="DH171" s="371"/>
      <c r="DI171" s="371"/>
      <c r="DJ171" s="371"/>
      <c r="DK171" s="371"/>
      <c r="DL171" s="371"/>
      <c r="DM171" s="371"/>
      <c r="DN171" s="371"/>
      <c r="DO171" s="371"/>
      <c r="DP171" s="371"/>
      <c r="DQ171" s="371"/>
      <c r="DR171" s="371"/>
    </row>
    <row r="172" spans="1:122" ht="18.75" x14ac:dyDescent="0.3">
      <c r="A172" s="325">
        <v>811198</v>
      </c>
      <c r="B172" s="326">
        <v>128</v>
      </c>
      <c r="C172" s="327" t="s">
        <v>2150</v>
      </c>
      <c r="D172" s="424" t="s">
        <v>834</v>
      </c>
      <c r="E172" s="328"/>
      <c r="F172" s="173"/>
      <c r="G172" s="173"/>
      <c r="H172" s="373">
        <v>6.5</v>
      </c>
      <c r="I172" s="175" t="s">
        <v>546</v>
      </c>
      <c r="J172" s="173" t="s">
        <v>834</v>
      </c>
      <c r="K172" s="371" t="s">
        <v>2125</v>
      </c>
      <c r="L172" s="426" t="s">
        <v>834</v>
      </c>
      <c r="M172" s="427" t="s">
        <v>2151</v>
      </c>
      <c r="N172" s="173" t="s">
        <v>834</v>
      </c>
      <c r="O172" s="171"/>
      <c r="P172" s="445">
        <v>6.35</v>
      </c>
      <c r="Q172" s="427"/>
      <c r="R172" s="457">
        <v>0.39800000000000002</v>
      </c>
      <c r="S172" s="175" t="s">
        <v>837</v>
      </c>
      <c r="T172" s="428">
        <v>5.75</v>
      </c>
      <c r="U172" s="376" t="s">
        <v>546</v>
      </c>
      <c r="V172" s="429">
        <v>6</v>
      </c>
      <c r="W172" s="377"/>
      <c r="X172" s="167" t="s">
        <v>834</v>
      </c>
      <c r="Y172" s="168" t="s">
        <v>856</v>
      </c>
      <c r="Z172" s="167">
        <v>4</v>
      </c>
      <c r="AA172" s="168"/>
      <c r="AB172" s="167" t="s">
        <v>834</v>
      </c>
      <c r="AC172" s="168"/>
      <c r="AD172" s="430" t="s">
        <v>834</v>
      </c>
      <c r="AE172" s="168"/>
      <c r="AF172" s="173" t="s">
        <v>834</v>
      </c>
      <c r="AG172" s="171"/>
      <c r="AH172" s="167">
        <v>6</v>
      </c>
      <c r="AI172" s="168" t="s">
        <v>546</v>
      </c>
      <c r="AJ172" s="373">
        <v>6.5</v>
      </c>
      <c r="AK172" s="431" t="s">
        <v>863</v>
      </c>
      <c r="AL172" s="167" t="s">
        <v>834</v>
      </c>
      <c r="AM172" s="168" t="s">
        <v>2152</v>
      </c>
      <c r="AN172" s="173">
        <v>5</v>
      </c>
      <c r="AO172" s="171"/>
      <c r="AP172" s="432" t="s">
        <v>834</v>
      </c>
      <c r="AQ172" s="168" t="s">
        <v>2101</v>
      </c>
      <c r="AR172" s="173" t="s">
        <v>834</v>
      </c>
      <c r="AS172" s="171" t="s">
        <v>2153</v>
      </c>
      <c r="AT172" s="173" t="s">
        <v>834</v>
      </c>
      <c r="AU172" s="171"/>
      <c r="AV172" s="381" t="s">
        <v>834</v>
      </c>
      <c r="AW172" s="167"/>
      <c r="AX172" s="433">
        <v>6.875</v>
      </c>
      <c r="AY172" s="427" t="s">
        <v>546</v>
      </c>
      <c r="AZ172" s="167">
        <v>7</v>
      </c>
      <c r="BA172" s="427"/>
      <c r="BB172" s="164" t="s">
        <v>834</v>
      </c>
      <c r="BC172" s="167"/>
      <c r="BD172" s="464"/>
      <c r="BE172" s="427"/>
      <c r="BF172" s="384">
        <v>5.5</v>
      </c>
      <c r="BG172" s="168"/>
      <c r="BH172" s="432">
        <v>6.85</v>
      </c>
      <c r="BI172" s="168" t="s">
        <v>2131</v>
      </c>
      <c r="BJ172" s="167" t="s">
        <v>546</v>
      </c>
      <c r="BK172" s="167"/>
      <c r="BL172" s="167">
        <v>6.875</v>
      </c>
      <c r="BM172" s="167"/>
      <c r="BN172" s="173">
        <v>5.125</v>
      </c>
      <c r="BO172" s="171"/>
      <c r="BP172" s="435">
        <v>4</v>
      </c>
      <c r="BQ172" s="436" t="s">
        <v>546</v>
      </c>
      <c r="BR172" s="385">
        <v>4.75</v>
      </c>
      <c r="BS172" s="168"/>
      <c r="BT172" s="167" t="s">
        <v>834</v>
      </c>
      <c r="BU172" s="168" t="s">
        <v>1641</v>
      </c>
      <c r="BV172" s="429">
        <v>5.75</v>
      </c>
      <c r="BW172" s="168" t="s">
        <v>546</v>
      </c>
      <c r="BX172" s="437" t="s">
        <v>834</v>
      </c>
      <c r="BY172" s="171"/>
      <c r="BZ172" s="432"/>
      <c r="CA172" s="168"/>
      <c r="CB172" s="167">
        <v>6</v>
      </c>
      <c r="CC172" s="167"/>
      <c r="CD172" s="173" t="s">
        <v>834</v>
      </c>
      <c r="CE172" s="171" t="s">
        <v>2154</v>
      </c>
      <c r="CF172" s="167" t="s">
        <v>834</v>
      </c>
      <c r="CG172" s="175" t="s">
        <v>2155</v>
      </c>
      <c r="CH172" s="167">
        <v>4.5</v>
      </c>
      <c r="CI172" s="168"/>
      <c r="CJ172" s="167">
        <v>7</v>
      </c>
      <c r="CK172" s="168"/>
      <c r="CL172" s="385" t="s">
        <v>834</v>
      </c>
      <c r="CM172" s="168"/>
      <c r="CN172" s="385">
        <v>4.7</v>
      </c>
      <c r="CO172" s="167"/>
      <c r="CP172" s="167" t="s">
        <v>834</v>
      </c>
      <c r="CQ172" s="167"/>
      <c r="CR172" s="373" t="s">
        <v>834</v>
      </c>
      <c r="CS172" s="373"/>
      <c r="CT172" s="432">
        <v>6.5</v>
      </c>
      <c r="CU172" s="168" t="s">
        <v>938</v>
      </c>
      <c r="CV172" s="432">
        <v>6</v>
      </c>
      <c r="CW172" s="168"/>
      <c r="CX172" s="168">
        <v>5</v>
      </c>
      <c r="CY172" s="168" t="s">
        <v>546</v>
      </c>
      <c r="CZ172" s="173">
        <v>4</v>
      </c>
      <c r="DA172" s="171" t="s">
        <v>2156</v>
      </c>
      <c r="DB172" s="371" t="s">
        <v>546</v>
      </c>
      <c r="DC172" s="371">
        <f t="shared" si="17"/>
        <v>26</v>
      </c>
      <c r="DD172" s="371"/>
      <c r="DE172" s="371"/>
      <c r="DF172" s="371"/>
      <c r="DG172" s="371"/>
      <c r="DH172" s="371"/>
      <c r="DI172" s="371"/>
      <c r="DJ172" s="371"/>
      <c r="DK172" s="371"/>
      <c r="DL172" s="371"/>
      <c r="DM172" s="371"/>
      <c r="DN172" s="371"/>
      <c r="DO172" s="371"/>
      <c r="DP172" s="371"/>
      <c r="DQ172" s="371"/>
      <c r="DR172" s="371"/>
    </row>
    <row r="173" spans="1:122" ht="18.75" x14ac:dyDescent="0.3">
      <c r="A173" s="325"/>
      <c r="B173" s="326"/>
      <c r="C173" s="456"/>
      <c r="D173" s="424"/>
      <c r="E173" s="328"/>
      <c r="F173" s="173"/>
      <c r="G173" s="173"/>
      <c r="H173" s="373"/>
      <c r="I173" s="427"/>
      <c r="J173" s="173"/>
      <c r="K173" s="371"/>
      <c r="L173" s="426"/>
      <c r="M173" s="427"/>
      <c r="N173" s="173"/>
      <c r="O173" s="171"/>
      <c r="P173" s="385"/>
      <c r="Q173" s="427"/>
      <c r="R173" s="374"/>
      <c r="S173" s="168"/>
      <c r="T173" s="428"/>
      <c r="U173" s="376"/>
      <c r="V173" s="429"/>
      <c r="W173" s="377"/>
      <c r="X173" s="167"/>
      <c r="Y173" s="168"/>
      <c r="Z173" s="167"/>
      <c r="AA173" s="168"/>
      <c r="AB173" s="167"/>
      <c r="AC173" s="168"/>
      <c r="AD173" s="430" t="s">
        <v>546</v>
      </c>
      <c r="AE173" s="168"/>
      <c r="AF173" s="173"/>
      <c r="AG173" s="171"/>
      <c r="AH173" s="167"/>
      <c r="AI173" s="168"/>
      <c r="AJ173" s="373"/>
      <c r="AK173" s="431"/>
      <c r="AL173" s="167"/>
      <c r="AM173" s="168"/>
      <c r="AN173" s="173"/>
      <c r="AO173" s="171"/>
      <c r="AP173" s="432"/>
      <c r="AQ173" s="168"/>
      <c r="AR173" s="173"/>
      <c r="AS173" s="171"/>
      <c r="AT173" s="173"/>
      <c r="AU173" s="171"/>
      <c r="AV173" s="381"/>
      <c r="AW173" s="168"/>
      <c r="AX173" s="433"/>
      <c r="AY173" s="427"/>
      <c r="AZ173" s="167"/>
      <c r="BA173" s="427"/>
      <c r="BB173" s="164"/>
      <c r="BC173" s="168"/>
      <c r="BD173" s="464"/>
      <c r="BE173" s="427"/>
      <c r="BF173" s="384"/>
      <c r="BG173" s="168"/>
      <c r="BH173" s="432"/>
      <c r="BI173" s="168"/>
      <c r="BJ173" s="167"/>
      <c r="BK173" s="167"/>
      <c r="BL173" s="167"/>
      <c r="BM173" s="168"/>
      <c r="BN173" s="173"/>
      <c r="BO173" s="171"/>
      <c r="BP173" s="435"/>
      <c r="BQ173" s="436"/>
      <c r="BR173" s="167"/>
      <c r="BS173" s="168"/>
      <c r="BT173" s="167"/>
      <c r="BU173" s="168"/>
      <c r="BV173" s="167"/>
      <c r="BW173" s="168"/>
      <c r="BX173" s="437"/>
      <c r="BY173" s="171"/>
      <c r="BZ173" s="432"/>
      <c r="CA173" s="168"/>
      <c r="CB173" s="167"/>
      <c r="CC173" s="168"/>
      <c r="CD173" s="173"/>
      <c r="CE173" s="171"/>
      <c r="CF173" s="167"/>
      <c r="CG173" s="175"/>
      <c r="CH173" s="167"/>
      <c r="CI173" s="168"/>
      <c r="CJ173" s="167"/>
      <c r="CK173" s="168"/>
      <c r="CL173" s="385"/>
      <c r="CM173" s="168"/>
      <c r="CN173" s="385"/>
      <c r="CO173" s="167"/>
      <c r="CP173" s="167"/>
      <c r="CQ173" s="168"/>
      <c r="CR173" s="373"/>
      <c r="CS173" s="427"/>
      <c r="CT173" s="432"/>
      <c r="CU173" s="168"/>
      <c r="CV173" s="432"/>
      <c r="CW173" s="168"/>
      <c r="CX173" s="168"/>
      <c r="CY173" s="168"/>
      <c r="CZ173" s="173"/>
      <c r="DA173" s="171"/>
      <c r="DB173" s="371"/>
      <c r="DC173" s="371"/>
      <c r="DD173" s="371"/>
      <c r="DE173" s="371"/>
      <c r="DF173" s="371"/>
      <c r="DG173" s="371"/>
      <c r="DH173" s="371"/>
      <c r="DI173" s="371"/>
      <c r="DJ173" s="371"/>
      <c r="DK173" s="371"/>
      <c r="DL173" s="371"/>
      <c r="DM173" s="371"/>
      <c r="DN173" s="371"/>
      <c r="DO173" s="371"/>
      <c r="DP173" s="371"/>
      <c r="DQ173" s="371"/>
      <c r="DR173" s="371"/>
    </row>
    <row r="174" spans="1:122" ht="18.75" x14ac:dyDescent="0.3">
      <c r="A174" s="389"/>
      <c r="B174" s="390"/>
      <c r="C174" s="391" t="s">
        <v>2157</v>
      </c>
      <c r="D174" s="392" t="s">
        <v>832</v>
      </c>
      <c r="E174" s="393"/>
      <c r="F174" s="394" t="s">
        <v>832</v>
      </c>
      <c r="G174" s="394"/>
      <c r="H174" s="394" t="s">
        <v>832</v>
      </c>
      <c r="I174" s="401"/>
      <c r="J174" s="438" t="s">
        <v>832</v>
      </c>
      <c r="K174" s="397"/>
      <c r="L174" s="438" t="s">
        <v>832</v>
      </c>
      <c r="M174" s="401"/>
      <c r="N174" s="400" t="s">
        <v>832</v>
      </c>
      <c r="O174" s="172"/>
      <c r="P174" s="400" t="s">
        <v>832</v>
      </c>
      <c r="Q174" s="401"/>
      <c r="R174" s="400" t="s">
        <v>832</v>
      </c>
      <c r="S174" s="170"/>
      <c r="T174" s="400" t="s">
        <v>832</v>
      </c>
      <c r="U174" s="404"/>
      <c r="V174" s="400" t="s">
        <v>832</v>
      </c>
      <c r="W174" s="406"/>
      <c r="X174" s="400" t="s">
        <v>832</v>
      </c>
      <c r="Y174" s="170"/>
      <c r="Z174" s="400" t="s">
        <v>832</v>
      </c>
      <c r="AA174" s="170"/>
      <c r="AB174" s="400" t="s">
        <v>832</v>
      </c>
      <c r="AC174" s="170"/>
      <c r="AD174" s="408" t="s">
        <v>832</v>
      </c>
      <c r="AE174" s="170"/>
      <c r="AF174" s="408" t="s">
        <v>832</v>
      </c>
      <c r="AG174" s="172"/>
      <c r="AH174" s="408" t="s">
        <v>832</v>
      </c>
      <c r="AI174" s="170"/>
      <c r="AJ174" s="408" t="s">
        <v>832</v>
      </c>
      <c r="AK174" s="409"/>
      <c r="AL174" s="407" t="s">
        <v>832</v>
      </c>
      <c r="AM174" s="170"/>
      <c r="AN174" s="491" t="s">
        <v>832</v>
      </c>
      <c r="AO174" s="172"/>
      <c r="AP174" s="408" t="s">
        <v>832</v>
      </c>
      <c r="AQ174" s="170"/>
      <c r="AR174" s="438" t="s">
        <v>832</v>
      </c>
      <c r="AS174" s="172"/>
      <c r="AT174" s="438" t="s">
        <v>832</v>
      </c>
      <c r="AU174" s="172"/>
      <c r="AV174" s="408" t="s">
        <v>832</v>
      </c>
      <c r="AW174" s="170"/>
      <c r="AX174" s="408" t="s">
        <v>832</v>
      </c>
      <c r="AY174" s="401"/>
      <c r="AZ174" s="407" t="s">
        <v>832</v>
      </c>
      <c r="BA174" s="401"/>
      <c r="BB174" s="408" t="s">
        <v>832</v>
      </c>
      <c r="BC174" s="170"/>
      <c r="BD174" s="407" t="s">
        <v>832</v>
      </c>
      <c r="BE174" s="401"/>
      <c r="BF174" s="407" t="s">
        <v>832</v>
      </c>
      <c r="BG174" s="170"/>
      <c r="BH174" s="408" t="s">
        <v>832</v>
      </c>
      <c r="BI174" s="170"/>
      <c r="BJ174" s="407" t="s">
        <v>832</v>
      </c>
      <c r="BK174" s="407"/>
      <c r="BL174" s="408" t="s">
        <v>832</v>
      </c>
      <c r="BM174" s="170"/>
      <c r="BN174" s="491" t="s">
        <v>832</v>
      </c>
      <c r="BO174" s="172"/>
      <c r="BP174" s="408" t="s">
        <v>832</v>
      </c>
      <c r="BQ174" s="419"/>
      <c r="BR174" s="407" t="s">
        <v>832</v>
      </c>
      <c r="BS174" s="170"/>
      <c r="BT174" s="408" t="s">
        <v>832</v>
      </c>
      <c r="BU174" s="170"/>
      <c r="BV174" s="407" t="s">
        <v>832</v>
      </c>
      <c r="BW174" s="170"/>
      <c r="BX174" s="438" t="s">
        <v>832</v>
      </c>
      <c r="BY174" s="172"/>
      <c r="BZ174" s="408" t="s">
        <v>832</v>
      </c>
      <c r="CA174" s="170"/>
      <c r="CB174" s="408" t="s">
        <v>832</v>
      </c>
      <c r="CC174" s="170"/>
      <c r="CD174" s="407" t="s">
        <v>832</v>
      </c>
      <c r="CE174" s="172"/>
      <c r="CF174" s="408" t="s">
        <v>832</v>
      </c>
      <c r="CG174" s="399"/>
      <c r="CH174" s="408" t="s">
        <v>832</v>
      </c>
      <c r="CI174" s="170"/>
      <c r="CJ174" s="408" t="s">
        <v>832</v>
      </c>
      <c r="CK174" s="170"/>
      <c r="CL174" s="407" t="s">
        <v>832</v>
      </c>
      <c r="CM174" s="170"/>
      <c r="CN174" s="407" t="s">
        <v>832</v>
      </c>
      <c r="CO174" s="170"/>
      <c r="CP174" s="408" t="s">
        <v>832</v>
      </c>
      <c r="CQ174" s="170"/>
      <c r="CR174" s="408" t="s">
        <v>832</v>
      </c>
      <c r="CS174" s="401"/>
      <c r="CT174" s="408" t="s">
        <v>832</v>
      </c>
      <c r="CU174" s="170"/>
      <c r="CV174" s="407" t="s">
        <v>832</v>
      </c>
      <c r="CW174" s="170"/>
      <c r="CX174" s="407" t="s">
        <v>832</v>
      </c>
      <c r="CY174" s="170"/>
      <c r="CZ174" s="407" t="s">
        <v>832</v>
      </c>
      <c r="DA174" s="172"/>
      <c r="DB174" s="397"/>
      <c r="DC174" s="397"/>
      <c r="DD174" s="397"/>
      <c r="DE174" s="397"/>
      <c r="DF174" s="397"/>
      <c r="DG174" s="397"/>
      <c r="DH174" s="397"/>
      <c r="DI174" s="397"/>
      <c r="DJ174" s="397"/>
      <c r="DK174" s="397"/>
      <c r="DL174" s="397"/>
      <c r="DM174" s="397"/>
      <c r="DN174" s="397"/>
      <c r="DO174" s="397"/>
      <c r="DP174" s="397"/>
      <c r="DQ174" s="397"/>
      <c r="DR174" s="397"/>
    </row>
    <row r="175" spans="1:122" ht="18.75" x14ac:dyDescent="0.3">
      <c r="A175" s="325">
        <v>711212</v>
      </c>
      <c r="B175" s="326">
        <v>129</v>
      </c>
      <c r="C175" s="327" t="s">
        <v>2158</v>
      </c>
      <c r="D175" s="424" t="s">
        <v>834</v>
      </c>
      <c r="E175" s="328" t="s">
        <v>2159</v>
      </c>
      <c r="F175" s="173" t="s">
        <v>546</v>
      </c>
      <c r="G175" s="173"/>
      <c r="H175" s="373">
        <v>8.5</v>
      </c>
      <c r="I175" s="427" t="s">
        <v>2160</v>
      </c>
      <c r="J175" s="173" t="s">
        <v>834</v>
      </c>
      <c r="K175" s="371"/>
      <c r="L175" s="426" t="s">
        <v>834</v>
      </c>
      <c r="M175" s="427"/>
      <c r="N175" s="173" t="s">
        <v>834</v>
      </c>
      <c r="O175" s="171"/>
      <c r="P175" s="569">
        <v>10</v>
      </c>
      <c r="Q175" s="427" t="s">
        <v>2161</v>
      </c>
      <c r="R175" s="457" t="s">
        <v>834</v>
      </c>
      <c r="S175" s="168"/>
      <c r="T175" s="561">
        <v>5.75</v>
      </c>
      <c r="U175" s="376" t="s">
        <v>2162</v>
      </c>
      <c r="V175" s="429" t="s">
        <v>834</v>
      </c>
      <c r="W175" s="377"/>
      <c r="X175" s="167">
        <v>4</v>
      </c>
      <c r="Y175" s="168"/>
      <c r="Z175" s="167" t="s">
        <v>503</v>
      </c>
      <c r="AA175" s="168"/>
      <c r="AB175" s="167">
        <v>6</v>
      </c>
      <c r="AC175" s="168" t="s">
        <v>2163</v>
      </c>
      <c r="AD175" s="430" t="s">
        <v>834</v>
      </c>
      <c r="AE175" s="168"/>
      <c r="AF175" s="173" t="s">
        <v>834</v>
      </c>
      <c r="AG175" s="171" t="s">
        <v>2164</v>
      </c>
      <c r="AH175" s="167">
        <v>6</v>
      </c>
      <c r="AI175" s="168"/>
      <c r="AJ175" s="373" t="s">
        <v>834</v>
      </c>
      <c r="AK175" s="431"/>
      <c r="AL175" s="579">
        <v>0.15</v>
      </c>
      <c r="AM175" s="580" t="s">
        <v>2165</v>
      </c>
      <c r="AN175" s="173" t="s">
        <v>834</v>
      </c>
      <c r="AO175" s="171" t="s">
        <v>2166</v>
      </c>
      <c r="AP175" s="432" t="s">
        <v>834</v>
      </c>
      <c r="AQ175" s="168"/>
      <c r="AR175" s="173">
        <v>10</v>
      </c>
      <c r="AS175" s="171" t="s">
        <v>2167</v>
      </c>
      <c r="AT175" s="173" t="s">
        <v>834</v>
      </c>
      <c r="AU175" s="171"/>
      <c r="AV175" s="381" t="s">
        <v>834</v>
      </c>
      <c r="AW175" s="168"/>
      <c r="AX175" s="433">
        <v>6.875</v>
      </c>
      <c r="AY175" s="427"/>
      <c r="AZ175" s="167">
        <v>7</v>
      </c>
      <c r="BA175" s="427"/>
      <c r="BB175" s="164">
        <v>4.2249999999999996</v>
      </c>
      <c r="BC175" s="168"/>
      <c r="BD175" s="434">
        <v>0.01</v>
      </c>
      <c r="BE175" s="427" t="s">
        <v>2168</v>
      </c>
      <c r="BF175" s="384">
        <v>5.5</v>
      </c>
      <c r="BG175" s="168"/>
      <c r="BH175" s="569">
        <v>9</v>
      </c>
      <c r="BI175" s="168" t="s">
        <v>2169</v>
      </c>
      <c r="BJ175" s="167" t="s">
        <v>546</v>
      </c>
      <c r="BK175" s="167"/>
      <c r="BL175" s="167" t="s">
        <v>834</v>
      </c>
      <c r="BM175" s="168"/>
      <c r="BN175" s="173">
        <v>5.125</v>
      </c>
      <c r="BO175" s="171" t="s">
        <v>2170</v>
      </c>
      <c r="BP175" s="466" t="s">
        <v>834</v>
      </c>
      <c r="BQ175" s="436" t="s">
        <v>546</v>
      </c>
      <c r="BR175" s="385">
        <v>4.75</v>
      </c>
      <c r="BS175" s="168" t="s">
        <v>546</v>
      </c>
      <c r="BT175" s="167">
        <v>5</v>
      </c>
      <c r="BU175" s="168"/>
      <c r="BV175" s="373" t="s">
        <v>995</v>
      </c>
      <c r="BW175" s="168" t="s">
        <v>2171</v>
      </c>
      <c r="BX175" s="437">
        <v>14.5</v>
      </c>
      <c r="BY175" s="171" t="s">
        <v>2172</v>
      </c>
      <c r="BZ175" s="432" t="s">
        <v>546</v>
      </c>
      <c r="CA175" s="168"/>
      <c r="CB175" s="167" t="s">
        <v>834</v>
      </c>
      <c r="CC175" s="168" t="s">
        <v>2173</v>
      </c>
      <c r="CD175" s="173" t="s">
        <v>995</v>
      </c>
      <c r="CE175" s="171" t="s">
        <v>2174</v>
      </c>
      <c r="CF175" s="167" t="s">
        <v>834</v>
      </c>
      <c r="CG175" s="175"/>
      <c r="CH175" s="167">
        <v>4.5</v>
      </c>
      <c r="CI175" s="168" t="s">
        <v>2175</v>
      </c>
      <c r="CJ175" s="167">
        <v>7</v>
      </c>
      <c r="CK175" s="168"/>
      <c r="CL175" s="385">
        <v>6.25</v>
      </c>
      <c r="CM175" s="168"/>
      <c r="CN175" s="385">
        <v>4.7</v>
      </c>
      <c r="CO175" s="168"/>
      <c r="CP175" s="167">
        <v>6</v>
      </c>
      <c r="CQ175" s="168"/>
      <c r="CR175" s="373" t="s">
        <v>834</v>
      </c>
      <c r="CS175" s="427"/>
      <c r="CT175" s="432" t="s">
        <v>834</v>
      </c>
      <c r="CU175" s="168" t="s">
        <v>2176</v>
      </c>
      <c r="CV175" s="432">
        <v>6</v>
      </c>
      <c r="CW175" s="168"/>
      <c r="CX175" s="168">
        <v>5</v>
      </c>
      <c r="CY175" s="168" t="s">
        <v>2177</v>
      </c>
      <c r="CZ175" s="173">
        <v>4</v>
      </c>
      <c r="DA175" s="171" t="s">
        <v>2178</v>
      </c>
      <c r="DB175" s="371" t="s">
        <v>847</v>
      </c>
      <c r="DC175" s="371">
        <f t="shared" ref="DC175:DC189" si="18">COUNT(D175:CZ175)</f>
        <v>26</v>
      </c>
      <c r="DD175" s="371"/>
      <c r="DE175" s="371"/>
      <c r="DF175" s="371"/>
      <c r="DG175" s="371"/>
      <c r="DH175" s="371"/>
      <c r="DI175" s="371"/>
      <c r="DJ175" s="371"/>
      <c r="DK175" s="371"/>
      <c r="DL175" s="371"/>
      <c r="DM175" s="371"/>
      <c r="DN175" s="371"/>
      <c r="DO175" s="371"/>
      <c r="DP175" s="371"/>
      <c r="DQ175" s="371"/>
      <c r="DR175" s="371"/>
    </row>
    <row r="176" spans="1:122" ht="18.75" x14ac:dyDescent="0.3">
      <c r="A176" s="325">
        <v>71311</v>
      </c>
      <c r="B176" s="326">
        <v>130</v>
      </c>
      <c r="C176" s="327" t="s">
        <v>2179</v>
      </c>
      <c r="D176" s="424">
        <v>4</v>
      </c>
      <c r="E176" s="328"/>
      <c r="F176" s="173" t="s">
        <v>546</v>
      </c>
      <c r="G176" s="173"/>
      <c r="H176" s="373">
        <v>8.5</v>
      </c>
      <c r="I176" s="427" t="s">
        <v>2180</v>
      </c>
      <c r="J176" s="173">
        <v>5.6</v>
      </c>
      <c r="K176" s="371" t="s">
        <v>2181</v>
      </c>
      <c r="L176" s="426" t="s">
        <v>834</v>
      </c>
      <c r="M176" s="427"/>
      <c r="N176" s="173" t="s">
        <v>834</v>
      </c>
      <c r="O176" s="171"/>
      <c r="P176" s="569">
        <v>10</v>
      </c>
      <c r="Q176" s="427" t="s">
        <v>2182</v>
      </c>
      <c r="R176" s="457">
        <v>0.39800000000000002</v>
      </c>
      <c r="S176" s="168" t="s">
        <v>837</v>
      </c>
      <c r="T176" s="561">
        <v>5.75</v>
      </c>
      <c r="U176" s="376" t="s">
        <v>2183</v>
      </c>
      <c r="V176" s="429">
        <v>6</v>
      </c>
      <c r="W176" s="377"/>
      <c r="X176" s="167">
        <v>4</v>
      </c>
      <c r="Y176" s="168"/>
      <c r="Z176" s="167">
        <v>4</v>
      </c>
      <c r="AA176" s="168"/>
      <c r="AB176" s="167">
        <v>6</v>
      </c>
      <c r="AC176" s="168"/>
      <c r="AD176" s="430" t="s">
        <v>995</v>
      </c>
      <c r="AE176" s="168" t="s">
        <v>1625</v>
      </c>
      <c r="AF176" s="173" t="s">
        <v>834</v>
      </c>
      <c r="AG176" s="171"/>
      <c r="AH176" s="167">
        <v>6</v>
      </c>
      <c r="AI176" s="168"/>
      <c r="AJ176" s="373">
        <v>6.5</v>
      </c>
      <c r="AK176" s="431" t="s">
        <v>863</v>
      </c>
      <c r="AL176" s="167">
        <v>6</v>
      </c>
      <c r="AM176" s="168" t="s">
        <v>2184</v>
      </c>
      <c r="AN176" s="173">
        <v>5</v>
      </c>
      <c r="AO176" s="171"/>
      <c r="AP176" s="432" t="s">
        <v>834</v>
      </c>
      <c r="AQ176" s="168"/>
      <c r="AR176" s="173">
        <v>10</v>
      </c>
      <c r="AS176" s="171" t="s">
        <v>2167</v>
      </c>
      <c r="AT176" s="173" t="s">
        <v>834</v>
      </c>
      <c r="AU176" s="171"/>
      <c r="AV176" s="381" t="s">
        <v>834</v>
      </c>
      <c r="AW176" s="168"/>
      <c r="AX176" s="433">
        <v>6.875</v>
      </c>
      <c r="AY176" s="427"/>
      <c r="AZ176" s="167">
        <v>7</v>
      </c>
      <c r="BA176" s="427"/>
      <c r="BB176" s="164">
        <v>4.2249999999999996</v>
      </c>
      <c r="BC176" s="168"/>
      <c r="BD176" s="581"/>
      <c r="BE176" s="582"/>
      <c r="BF176" s="384">
        <v>5.5</v>
      </c>
      <c r="BG176" s="168" t="s">
        <v>2185</v>
      </c>
      <c r="BH176" s="442">
        <v>9</v>
      </c>
      <c r="BI176" s="168" t="s">
        <v>2186</v>
      </c>
      <c r="BJ176" s="167" t="s">
        <v>546</v>
      </c>
      <c r="BK176" s="167"/>
      <c r="BL176" s="167">
        <v>6.875</v>
      </c>
      <c r="BM176" s="168"/>
      <c r="BN176" s="173">
        <v>5.125</v>
      </c>
      <c r="BO176" s="171" t="s">
        <v>546</v>
      </c>
      <c r="BP176" s="435">
        <v>4</v>
      </c>
      <c r="BQ176" s="436" t="s">
        <v>2187</v>
      </c>
      <c r="BR176" s="445">
        <v>4.75</v>
      </c>
      <c r="BS176" s="168" t="s">
        <v>2188</v>
      </c>
      <c r="BT176" s="167">
        <v>5</v>
      </c>
      <c r="BU176" s="168"/>
      <c r="BV176" s="373" t="s">
        <v>995</v>
      </c>
      <c r="BW176" s="168" t="s">
        <v>2171</v>
      </c>
      <c r="BX176" s="437">
        <v>4.5</v>
      </c>
      <c r="BY176" s="171"/>
      <c r="BZ176" s="432"/>
      <c r="CA176" s="168"/>
      <c r="CB176" s="167" t="s">
        <v>834</v>
      </c>
      <c r="CC176" s="168" t="s">
        <v>2189</v>
      </c>
      <c r="CD176" s="173" t="s">
        <v>834</v>
      </c>
      <c r="CE176" s="171"/>
      <c r="CF176" s="167">
        <v>5</v>
      </c>
      <c r="CG176" s="175" t="s">
        <v>2190</v>
      </c>
      <c r="CH176" s="167">
        <v>4.5</v>
      </c>
      <c r="CI176" s="168" t="s">
        <v>2191</v>
      </c>
      <c r="CJ176" s="167">
        <v>7</v>
      </c>
      <c r="CK176" s="168"/>
      <c r="CL176" s="385">
        <v>6.25</v>
      </c>
      <c r="CM176" s="168"/>
      <c r="CN176" s="385">
        <v>4.7</v>
      </c>
      <c r="CO176" s="168"/>
      <c r="CP176" s="167">
        <v>6</v>
      </c>
      <c r="CQ176" s="168"/>
      <c r="CR176" s="373" t="s">
        <v>834</v>
      </c>
      <c r="CS176" s="427"/>
      <c r="CT176" s="432">
        <v>1.5</v>
      </c>
      <c r="CU176" s="168" t="s">
        <v>840</v>
      </c>
      <c r="CV176" s="432">
        <v>6</v>
      </c>
      <c r="CW176" s="168"/>
      <c r="CX176" s="168">
        <v>5</v>
      </c>
      <c r="CY176" s="168"/>
      <c r="CZ176" s="173">
        <v>4</v>
      </c>
      <c r="DA176" s="171" t="s">
        <v>2192</v>
      </c>
      <c r="DB176" s="371" t="s">
        <v>546</v>
      </c>
      <c r="DC176" s="371">
        <f t="shared" si="18"/>
        <v>36</v>
      </c>
      <c r="DD176" s="371"/>
      <c r="DE176" s="371"/>
      <c r="DF176" s="371"/>
      <c r="DG176" s="371"/>
      <c r="DH176" s="371"/>
      <c r="DI176" s="371"/>
      <c r="DJ176" s="371"/>
      <c r="DK176" s="371"/>
      <c r="DL176" s="371"/>
      <c r="DM176" s="371"/>
      <c r="DN176" s="371"/>
      <c r="DO176" s="371"/>
      <c r="DP176" s="371"/>
      <c r="DQ176" s="371"/>
      <c r="DR176" s="371"/>
    </row>
    <row r="177" spans="1:122" ht="18.75" x14ac:dyDescent="0.3">
      <c r="A177" s="325">
        <v>71399</v>
      </c>
      <c r="B177" s="326">
        <v>131</v>
      </c>
      <c r="C177" s="327" t="s">
        <v>2193</v>
      </c>
      <c r="D177" s="424">
        <v>4</v>
      </c>
      <c r="E177" s="328"/>
      <c r="F177" s="173"/>
      <c r="G177" s="173"/>
      <c r="H177" s="373">
        <v>6.5</v>
      </c>
      <c r="I177" s="427"/>
      <c r="J177" s="173">
        <v>5.6</v>
      </c>
      <c r="K177" s="371" t="s">
        <v>2181</v>
      </c>
      <c r="L177" s="426" t="s">
        <v>834</v>
      </c>
      <c r="M177" s="427"/>
      <c r="N177" s="173" t="s">
        <v>834</v>
      </c>
      <c r="O177" s="171"/>
      <c r="P177" s="445" t="s">
        <v>834</v>
      </c>
      <c r="Q177" s="427"/>
      <c r="R177" s="457">
        <v>0.39800000000000002</v>
      </c>
      <c r="S177" s="168" t="s">
        <v>837</v>
      </c>
      <c r="T177" s="561">
        <v>5.75</v>
      </c>
      <c r="U177" s="376" t="s">
        <v>2194</v>
      </c>
      <c r="V177" s="429">
        <v>6</v>
      </c>
      <c r="W177" s="377"/>
      <c r="X177" s="167">
        <v>4</v>
      </c>
      <c r="Y177" s="168"/>
      <c r="Z177" s="167">
        <v>4</v>
      </c>
      <c r="AA177" s="168"/>
      <c r="AB177" s="167">
        <v>6</v>
      </c>
      <c r="AC177" s="168"/>
      <c r="AD177" s="430" t="s">
        <v>995</v>
      </c>
      <c r="AE177" s="168" t="s">
        <v>1625</v>
      </c>
      <c r="AF177" s="173" t="s">
        <v>834</v>
      </c>
      <c r="AG177" s="171"/>
      <c r="AH177" s="167">
        <v>6</v>
      </c>
      <c r="AI177" s="168"/>
      <c r="AJ177" s="373">
        <v>6.5</v>
      </c>
      <c r="AK177" s="431" t="s">
        <v>863</v>
      </c>
      <c r="AL177" s="167" t="s">
        <v>834</v>
      </c>
      <c r="AM177" s="168"/>
      <c r="AN177" s="173">
        <v>5</v>
      </c>
      <c r="AO177" s="171" t="s">
        <v>2195</v>
      </c>
      <c r="AP177" s="432" t="s">
        <v>834</v>
      </c>
      <c r="AQ177" s="168"/>
      <c r="AR177" s="173">
        <v>10</v>
      </c>
      <c r="AS177" s="171" t="s">
        <v>2167</v>
      </c>
      <c r="AT177" s="173" t="s">
        <v>834</v>
      </c>
      <c r="AU177" s="171"/>
      <c r="AV177" s="381" t="s">
        <v>834</v>
      </c>
      <c r="AW177" s="167"/>
      <c r="AX177" s="433">
        <v>6.875</v>
      </c>
      <c r="AY177" s="427"/>
      <c r="AZ177" s="167">
        <v>7</v>
      </c>
      <c r="BA177" s="427"/>
      <c r="BB177" s="164">
        <v>4.2249999999999996</v>
      </c>
      <c r="BC177" s="167"/>
      <c r="BD177" s="464"/>
      <c r="BE177" s="427"/>
      <c r="BF177" s="384">
        <v>5.5</v>
      </c>
      <c r="BG177" s="168"/>
      <c r="BH177" s="432" t="s">
        <v>834</v>
      </c>
      <c r="BI177" s="167"/>
      <c r="BJ177" s="167"/>
      <c r="BK177" s="167"/>
      <c r="BL177" s="167" t="s">
        <v>834</v>
      </c>
      <c r="BM177" s="167"/>
      <c r="BN177" s="173">
        <v>5.125</v>
      </c>
      <c r="BO177" s="171"/>
      <c r="BP177" s="435" t="s">
        <v>834</v>
      </c>
      <c r="BQ177" s="436"/>
      <c r="BR177" s="373" t="s">
        <v>834</v>
      </c>
      <c r="BS177" s="167"/>
      <c r="BT177" s="167">
        <v>5</v>
      </c>
      <c r="BU177" s="167"/>
      <c r="BV177" s="373" t="s">
        <v>995</v>
      </c>
      <c r="BW177" s="168" t="s">
        <v>2171</v>
      </c>
      <c r="BX177" s="437">
        <v>4.5</v>
      </c>
      <c r="BY177" s="171"/>
      <c r="BZ177" s="432"/>
      <c r="CA177" s="168"/>
      <c r="CB177" s="167" t="s">
        <v>834</v>
      </c>
      <c r="CC177" s="167"/>
      <c r="CD177" s="173" t="s">
        <v>834</v>
      </c>
      <c r="CE177" s="171"/>
      <c r="CF177" s="167" t="s">
        <v>834</v>
      </c>
      <c r="CG177" s="175" t="s">
        <v>2190</v>
      </c>
      <c r="CH177" s="167">
        <v>4.5</v>
      </c>
      <c r="CI177" s="168"/>
      <c r="CJ177" s="167">
        <v>7</v>
      </c>
      <c r="CK177" s="168"/>
      <c r="CL177" s="385">
        <v>6.25</v>
      </c>
      <c r="CM177" s="168" t="s">
        <v>2196</v>
      </c>
      <c r="CN177" s="385">
        <v>4.7</v>
      </c>
      <c r="CO177" s="167"/>
      <c r="CP177" s="167">
        <v>6</v>
      </c>
      <c r="CQ177" s="168" t="s">
        <v>2197</v>
      </c>
      <c r="CR177" s="373" t="s">
        <v>834</v>
      </c>
      <c r="CS177" s="373"/>
      <c r="CT177" s="432">
        <v>6.5</v>
      </c>
      <c r="CU177" s="168" t="s">
        <v>938</v>
      </c>
      <c r="CV177" s="432">
        <v>6</v>
      </c>
      <c r="CW177" s="168"/>
      <c r="CX177" s="168">
        <v>5</v>
      </c>
      <c r="CY177" s="168"/>
      <c r="CZ177" s="173" t="s">
        <v>834</v>
      </c>
      <c r="DA177" s="171"/>
      <c r="DB177" s="371"/>
      <c r="DC177" s="371">
        <f t="shared" si="18"/>
        <v>28</v>
      </c>
      <c r="DD177" s="371"/>
      <c r="DE177" s="371"/>
      <c r="DF177" s="371"/>
      <c r="DG177" s="371"/>
      <c r="DH177" s="371"/>
      <c r="DI177" s="371"/>
      <c r="DJ177" s="371"/>
      <c r="DK177" s="371"/>
      <c r="DL177" s="371"/>
      <c r="DM177" s="371"/>
      <c r="DN177" s="371"/>
      <c r="DO177" s="371"/>
      <c r="DP177" s="371"/>
      <c r="DQ177" s="371"/>
      <c r="DR177" s="371"/>
    </row>
    <row r="178" spans="1:122" ht="18.75" x14ac:dyDescent="0.3">
      <c r="A178" s="325">
        <v>71395</v>
      </c>
      <c r="B178" s="326">
        <v>132</v>
      </c>
      <c r="C178" s="327" t="s">
        <v>2198</v>
      </c>
      <c r="D178" s="424">
        <v>4</v>
      </c>
      <c r="E178" s="328"/>
      <c r="F178" s="173"/>
      <c r="G178" s="173"/>
      <c r="H178" s="373">
        <v>6.5</v>
      </c>
      <c r="I178" s="427"/>
      <c r="J178" s="173">
        <v>5.6</v>
      </c>
      <c r="K178" s="371" t="s">
        <v>2181</v>
      </c>
      <c r="L178" s="426" t="s">
        <v>834</v>
      </c>
      <c r="M178" s="427"/>
      <c r="N178" s="173" t="s">
        <v>834</v>
      </c>
      <c r="O178" s="171"/>
      <c r="P178" s="445" t="s">
        <v>834</v>
      </c>
      <c r="Q178" s="427"/>
      <c r="R178" s="457">
        <v>0.39800000000000002</v>
      </c>
      <c r="S178" s="168" t="s">
        <v>837</v>
      </c>
      <c r="T178" s="561">
        <v>5.75</v>
      </c>
      <c r="U178" s="376" t="s">
        <v>2199</v>
      </c>
      <c r="V178" s="429">
        <v>6</v>
      </c>
      <c r="W178" s="377"/>
      <c r="X178" s="167">
        <v>4</v>
      </c>
      <c r="Y178" s="168"/>
      <c r="Z178" s="167">
        <v>4</v>
      </c>
      <c r="AA178" s="168"/>
      <c r="AB178" s="167">
        <v>6</v>
      </c>
      <c r="AC178" s="168"/>
      <c r="AD178" s="430" t="s">
        <v>995</v>
      </c>
      <c r="AE178" s="168" t="s">
        <v>1625</v>
      </c>
      <c r="AF178" s="173" t="s">
        <v>834</v>
      </c>
      <c r="AG178" s="171"/>
      <c r="AH178" s="167">
        <v>6</v>
      </c>
      <c r="AI178" s="168"/>
      <c r="AJ178" s="373">
        <v>6.5</v>
      </c>
      <c r="AK178" s="431" t="s">
        <v>863</v>
      </c>
      <c r="AL178" s="167" t="s">
        <v>834</v>
      </c>
      <c r="AM178" s="168"/>
      <c r="AN178" s="173">
        <v>5</v>
      </c>
      <c r="AO178" s="171"/>
      <c r="AP178" s="432" t="s">
        <v>834</v>
      </c>
      <c r="AQ178" s="168"/>
      <c r="AR178" s="173" t="s">
        <v>834</v>
      </c>
      <c r="AS178" s="171"/>
      <c r="AT178" s="173" t="s">
        <v>834</v>
      </c>
      <c r="AU178" s="171"/>
      <c r="AV178" s="381" t="s">
        <v>834</v>
      </c>
      <c r="AW178" s="168" t="s">
        <v>2200</v>
      </c>
      <c r="AX178" s="433">
        <v>6.875</v>
      </c>
      <c r="AY178" s="427"/>
      <c r="AZ178" s="167">
        <v>7</v>
      </c>
      <c r="BA178" s="427"/>
      <c r="BB178" s="164">
        <v>4.2249999999999996</v>
      </c>
      <c r="BC178" s="167"/>
      <c r="BD178" s="464"/>
      <c r="BE178" s="427"/>
      <c r="BF178" s="384">
        <v>5.5</v>
      </c>
      <c r="BG178" s="168"/>
      <c r="BH178" s="432" t="s">
        <v>834</v>
      </c>
      <c r="BI178" s="167"/>
      <c r="BJ178" s="167"/>
      <c r="BK178" s="167"/>
      <c r="BL178" s="167" t="s">
        <v>834</v>
      </c>
      <c r="BM178" s="167"/>
      <c r="BN178" s="173">
        <v>5.125</v>
      </c>
      <c r="BO178" s="171"/>
      <c r="BP178" s="435" t="s">
        <v>834</v>
      </c>
      <c r="BQ178" s="436"/>
      <c r="BR178" s="373" t="s">
        <v>834</v>
      </c>
      <c r="BS178" s="167"/>
      <c r="BT178" s="167">
        <v>5</v>
      </c>
      <c r="BU178" s="167"/>
      <c r="BV178" s="373" t="s">
        <v>995</v>
      </c>
      <c r="BW178" s="168" t="s">
        <v>2201</v>
      </c>
      <c r="BX178" s="437">
        <v>4.5</v>
      </c>
      <c r="BY178" s="171"/>
      <c r="BZ178" s="432"/>
      <c r="CA178" s="168"/>
      <c r="CB178" s="167" t="s">
        <v>834</v>
      </c>
      <c r="CC178" s="167"/>
      <c r="CD178" s="173" t="s">
        <v>834</v>
      </c>
      <c r="CE178" s="171"/>
      <c r="CF178" s="167">
        <v>5</v>
      </c>
      <c r="CG178" s="175" t="s">
        <v>2202</v>
      </c>
      <c r="CH178" s="167">
        <v>4.5</v>
      </c>
      <c r="CI178" s="168" t="s">
        <v>2191</v>
      </c>
      <c r="CJ178" s="167">
        <v>7</v>
      </c>
      <c r="CK178" s="168"/>
      <c r="CL178" s="385">
        <v>6.25</v>
      </c>
      <c r="CM178" s="168"/>
      <c r="CN178" s="385">
        <v>4.7</v>
      </c>
      <c r="CO178" s="167"/>
      <c r="CP178" s="167">
        <v>6</v>
      </c>
      <c r="CQ178" s="167"/>
      <c r="CR178" s="373" t="s">
        <v>834</v>
      </c>
      <c r="CS178" s="373"/>
      <c r="CT178" s="432">
        <v>6.5</v>
      </c>
      <c r="CU178" s="168" t="s">
        <v>938</v>
      </c>
      <c r="CV178" s="432">
        <v>6</v>
      </c>
      <c r="CW178" s="168"/>
      <c r="CX178" s="168">
        <v>5</v>
      </c>
      <c r="CY178" s="168"/>
      <c r="CZ178" s="173" t="s">
        <v>834</v>
      </c>
      <c r="DA178" s="171" t="s">
        <v>2203</v>
      </c>
      <c r="DB178" s="371" t="s">
        <v>546</v>
      </c>
      <c r="DC178" s="371">
        <f t="shared" si="18"/>
        <v>28</v>
      </c>
      <c r="DD178" s="371"/>
      <c r="DE178" s="371"/>
      <c r="DF178" s="371"/>
      <c r="DG178" s="371"/>
      <c r="DH178" s="371"/>
      <c r="DI178" s="371"/>
      <c r="DJ178" s="371"/>
      <c r="DK178" s="371"/>
      <c r="DL178" s="371"/>
      <c r="DM178" s="371"/>
      <c r="DN178" s="371"/>
      <c r="DO178" s="371"/>
      <c r="DP178" s="371"/>
      <c r="DQ178" s="371"/>
      <c r="DR178" s="371"/>
    </row>
    <row r="179" spans="1:122" ht="18.75" x14ac:dyDescent="0.3">
      <c r="A179" s="325">
        <v>517110</v>
      </c>
      <c r="B179" s="326">
        <v>133</v>
      </c>
      <c r="C179" s="327" t="s">
        <v>2204</v>
      </c>
      <c r="D179" s="424" t="s">
        <v>834</v>
      </c>
      <c r="E179" s="328"/>
      <c r="F179" s="173"/>
      <c r="G179" s="173"/>
      <c r="H179" s="373">
        <v>6.5</v>
      </c>
      <c r="I179" s="427"/>
      <c r="J179" s="173" t="s">
        <v>834</v>
      </c>
      <c r="K179" s="371" t="s">
        <v>2205</v>
      </c>
      <c r="L179" s="426" t="s">
        <v>834</v>
      </c>
      <c r="M179" s="427"/>
      <c r="N179" s="173" t="s">
        <v>834</v>
      </c>
      <c r="O179" s="171"/>
      <c r="P179" s="445">
        <v>6.35</v>
      </c>
      <c r="Q179" s="427" t="s">
        <v>2206</v>
      </c>
      <c r="R179" s="457">
        <v>2.125</v>
      </c>
      <c r="S179" s="168"/>
      <c r="T179" s="469">
        <v>10</v>
      </c>
      <c r="U179" s="376" t="s">
        <v>2207</v>
      </c>
      <c r="V179" s="429">
        <v>7.44</v>
      </c>
      <c r="W179" s="377" t="s">
        <v>1135</v>
      </c>
      <c r="X179" s="167" t="s">
        <v>834</v>
      </c>
      <c r="Y179" s="168" t="s">
        <v>856</v>
      </c>
      <c r="Z179" s="167">
        <v>4</v>
      </c>
      <c r="AA179" s="168"/>
      <c r="AB179" s="167" t="s">
        <v>834</v>
      </c>
      <c r="AC179" s="168" t="s">
        <v>2208</v>
      </c>
      <c r="AD179" s="430" t="s">
        <v>995</v>
      </c>
      <c r="AE179" s="168" t="s">
        <v>1625</v>
      </c>
      <c r="AF179" s="173">
        <v>7</v>
      </c>
      <c r="AG179" s="171"/>
      <c r="AH179" s="167">
        <v>6</v>
      </c>
      <c r="AI179" s="168"/>
      <c r="AJ179" s="373">
        <v>6.5</v>
      </c>
      <c r="AK179" s="431" t="s">
        <v>863</v>
      </c>
      <c r="AL179" s="167" t="s">
        <v>995</v>
      </c>
      <c r="AM179" s="168" t="s">
        <v>2209</v>
      </c>
      <c r="AN179" s="173" t="s">
        <v>834</v>
      </c>
      <c r="AO179" s="171"/>
      <c r="AP179" s="475">
        <v>6</v>
      </c>
      <c r="AQ179" s="453" t="s">
        <v>1178</v>
      </c>
      <c r="AR179" s="173">
        <v>6</v>
      </c>
      <c r="AS179" s="171" t="s">
        <v>2210</v>
      </c>
      <c r="AT179" s="173" t="s">
        <v>834</v>
      </c>
      <c r="AU179" s="171"/>
      <c r="AV179" s="381" t="s">
        <v>834</v>
      </c>
      <c r="AW179" s="167"/>
      <c r="AX179" s="433">
        <v>6.875</v>
      </c>
      <c r="AY179" s="427"/>
      <c r="AZ179" s="167">
        <v>7</v>
      </c>
      <c r="BA179" s="427"/>
      <c r="BB179" s="164" t="s">
        <v>834</v>
      </c>
      <c r="BC179" s="167"/>
      <c r="BD179" s="464"/>
      <c r="BE179" s="427"/>
      <c r="BF179" s="384">
        <v>5.5</v>
      </c>
      <c r="BG179" s="168"/>
      <c r="BH179" s="432" t="s">
        <v>834</v>
      </c>
      <c r="BI179" s="167"/>
      <c r="BJ179" s="167"/>
      <c r="BK179" s="168"/>
      <c r="BL179" s="167" t="s">
        <v>834</v>
      </c>
      <c r="BM179" s="167"/>
      <c r="BN179" s="173">
        <v>5.125</v>
      </c>
      <c r="BO179" s="171"/>
      <c r="BP179" s="435" t="s">
        <v>834</v>
      </c>
      <c r="BQ179" s="436"/>
      <c r="BR179" s="373">
        <v>7</v>
      </c>
      <c r="BS179" s="168" t="s">
        <v>2211</v>
      </c>
      <c r="BT179" s="167" t="s">
        <v>834</v>
      </c>
      <c r="BU179" s="168"/>
      <c r="BV179" s="373" t="s">
        <v>995</v>
      </c>
      <c r="BW179" s="168" t="s">
        <v>2212</v>
      </c>
      <c r="BX179" s="437" t="s">
        <v>834</v>
      </c>
      <c r="BY179" s="171"/>
      <c r="BZ179" s="442"/>
      <c r="CA179" s="168" t="s">
        <v>2213</v>
      </c>
      <c r="CB179" s="167" t="s">
        <v>834</v>
      </c>
      <c r="CC179" s="168" t="s">
        <v>2214</v>
      </c>
      <c r="CD179" s="173">
        <v>7</v>
      </c>
      <c r="CE179" s="171" t="s">
        <v>2215</v>
      </c>
      <c r="CF179" s="373">
        <v>6</v>
      </c>
      <c r="CG179" s="175" t="s">
        <v>2216</v>
      </c>
      <c r="CH179" s="167">
        <v>4.5</v>
      </c>
      <c r="CI179" s="168"/>
      <c r="CJ179" s="373">
        <v>7</v>
      </c>
      <c r="CK179" s="444" t="s">
        <v>2217</v>
      </c>
      <c r="CL179" s="385">
        <v>6.25</v>
      </c>
      <c r="CM179" s="168"/>
      <c r="CN179" s="385">
        <v>6.25</v>
      </c>
      <c r="CO179" s="168" t="s">
        <v>2218</v>
      </c>
      <c r="CP179" s="167">
        <v>6</v>
      </c>
      <c r="CQ179" s="167"/>
      <c r="CR179" s="373" t="s">
        <v>834</v>
      </c>
      <c r="CS179" s="454" t="s">
        <v>2219</v>
      </c>
      <c r="CT179" s="432">
        <v>1.5</v>
      </c>
      <c r="CU179" s="168" t="s">
        <v>840</v>
      </c>
      <c r="CV179" s="432">
        <v>6</v>
      </c>
      <c r="CW179" s="168"/>
      <c r="CX179" s="168">
        <v>5</v>
      </c>
      <c r="CY179" s="168"/>
      <c r="CZ179" s="173" t="s">
        <v>834</v>
      </c>
      <c r="DA179" s="171"/>
      <c r="DB179" s="371"/>
      <c r="DC179" s="371">
        <f t="shared" si="18"/>
        <v>26</v>
      </c>
      <c r="DD179" s="371"/>
      <c r="DE179" s="371"/>
      <c r="DF179" s="371"/>
      <c r="DG179" s="371"/>
      <c r="DH179" s="371"/>
      <c r="DI179" s="371"/>
      <c r="DJ179" s="371"/>
      <c r="DK179" s="371"/>
      <c r="DL179" s="371"/>
      <c r="DM179" s="371"/>
      <c r="DN179" s="371"/>
      <c r="DO179" s="371"/>
      <c r="DP179" s="371"/>
      <c r="DQ179" s="371"/>
      <c r="DR179" s="371"/>
    </row>
    <row r="180" spans="1:122" ht="18.75" x14ac:dyDescent="0.3">
      <c r="A180" s="325">
        <v>517110</v>
      </c>
      <c r="B180" s="326">
        <v>134</v>
      </c>
      <c r="C180" s="327" t="s">
        <v>2220</v>
      </c>
      <c r="D180" s="424" t="s">
        <v>834</v>
      </c>
      <c r="E180" s="328"/>
      <c r="F180" s="173"/>
      <c r="G180" s="173"/>
      <c r="H180" s="373">
        <v>6.5</v>
      </c>
      <c r="I180" s="427"/>
      <c r="J180" s="173" t="s">
        <v>834</v>
      </c>
      <c r="K180" s="371" t="s">
        <v>2221</v>
      </c>
      <c r="L180" s="426" t="s">
        <v>834</v>
      </c>
      <c r="M180" s="427"/>
      <c r="N180" s="173" t="s">
        <v>834</v>
      </c>
      <c r="O180" s="171"/>
      <c r="P180" s="445">
        <v>6.35</v>
      </c>
      <c r="Q180" s="427"/>
      <c r="R180" s="457" t="s">
        <v>834</v>
      </c>
      <c r="S180" s="168"/>
      <c r="T180" s="469">
        <v>10</v>
      </c>
      <c r="U180" s="376" t="s">
        <v>2222</v>
      </c>
      <c r="V180" s="583">
        <v>7.44</v>
      </c>
      <c r="W180" s="377" t="s">
        <v>1135</v>
      </c>
      <c r="X180" s="167" t="s">
        <v>834</v>
      </c>
      <c r="Y180" s="168" t="s">
        <v>856</v>
      </c>
      <c r="Z180" s="167">
        <v>4</v>
      </c>
      <c r="AA180" s="168" t="s">
        <v>546</v>
      </c>
      <c r="AB180" s="167" t="s">
        <v>834</v>
      </c>
      <c r="AC180" s="168"/>
      <c r="AD180" s="430" t="s">
        <v>834</v>
      </c>
      <c r="AE180" s="168"/>
      <c r="AF180" s="173">
        <v>7</v>
      </c>
      <c r="AG180" s="171"/>
      <c r="AH180" s="167">
        <v>6</v>
      </c>
      <c r="AI180" s="168"/>
      <c r="AJ180" s="373">
        <v>6.5</v>
      </c>
      <c r="AK180" s="431" t="s">
        <v>2223</v>
      </c>
      <c r="AL180" s="167" t="s">
        <v>995</v>
      </c>
      <c r="AM180" s="168" t="s">
        <v>2224</v>
      </c>
      <c r="AN180" s="173" t="s">
        <v>834</v>
      </c>
      <c r="AO180" s="171"/>
      <c r="AP180" s="432">
        <v>6</v>
      </c>
      <c r="AQ180" s="453" t="s">
        <v>1178</v>
      </c>
      <c r="AR180" s="173" t="s">
        <v>834</v>
      </c>
      <c r="AS180" s="171" t="s">
        <v>2225</v>
      </c>
      <c r="AT180" s="173" t="s">
        <v>834</v>
      </c>
      <c r="AU180" s="171"/>
      <c r="AV180" s="381" t="s">
        <v>834</v>
      </c>
      <c r="AW180" s="167"/>
      <c r="AX180" s="433">
        <v>6.875</v>
      </c>
      <c r="AY180" s="427" t="s">
        <v>2226</v>
      </c>
      <c r="AZ180" s="429">
        <v>7</v>
      </c>
      <c r="BA180" s="427"/>
      <c r="BB180" s="164" t="s">
        <v>834</v>
      </c>
      <c r="BC180" s="167"/>
      <c r="BD180" s="464"/>
      <c r="BE180" s="427"/>
      <c r="BF180" s="384">
        <v>5.5</v>
      </c>
      <c r="BG180" s="168"/>
      <c r="BH180" s="432" t="s">
        <v>834</v>
      </c>
      <c r="BI180" s="167"/>
      <c r="BJ180" s="167"/>
      <c r="BK180" s="168"/>
      <c r="BL180" s="167" t="s">
        <v>834</v>
      </c>
      <c r="BM180" s="168" t="s">
        <v>2227</v>
      </c>
      <c r="BN180" s="173">
        <v>5.125</v>
      </c>
      <c r="BO180" s="171" t="s">
        <v>2228</v>
      </c>
      <c r="BP180" s="435" t="s">
        <v>834</v>
      </c>
      <c r="BQ180" s="436"/>
      <c r="BR180" s="373">
        <v>7</v>
      </c>
      <c r="BS180" s="168"/>
      <c r="BT180" s="167" t="s">
        <v>834</v>
      </c>
      <c r="BU180" s="168"/>
      <c r="BV180" s="441">
        <v>5.75</v>
      </c>
      <c r="BW180" s="168" t="s">
        <v>2229</v>
      </c>
      <c r="BX180" s="437" t="s">
        <v>834</v>
      </c>
      <c r="BY180" s="171"/>
      <c r="BZ180" s="442"/>
      <c r="CA180" s="168"/>
      <c r="CB180" s="167">
        <v>6</v>
      </c>
      <c r="CC180" s="168" t="s">
        <v>2214</v>
      </c>
      <c r="CD180" s="173">
        <v>7</v>
      </c>
      <c r="CE180" s="171"/>
      <c r="CF180" s="373">
        <v>6</v>
      </c>
      <c r="CG180" s="175" t="s">
        <v>2230</v>
      </c>
      <c r="CH180" s="167">
        <v>4.5</v>
      </c>
      <c r="CI180" s="168"/>
      <c r="CJ180" s="167">
        <v>8.25</v>
      </c>
      <c r="CK180" s="444" t="s">
        <v>2231</v>
      </c>
      <c r="CL180" s="385">
        <v>6.25</v>
      </c>
      <c r="CM180" s="168"/>
      <c r="CN180" s="385">
        <v>6.25</v>
      </c>
      <c r="CO180" s="168" t="s">
        <v>2218</v>
      </c>
      <c r="CP180" s="167">
        <v>6</v>
      </c>
      <c r="CQ180" s="167"/>
      <c r="CR180" s="373" t="s">
        <v>834</v>
      </c>
      <c r="CS180" s="454" t="s">
        <v>2232</v>
      </c>
      <c r="CT180" s="432">
        <v>1.5</v>
      </c>
      <c r="CU180" s="168" t="s">
        <v>840</v>
      </c>
      <c r="CV180" s="432" t="s">
        <v>505</v>
      </c>
      <c r="CW180" s="168"/>
      <c r="CX180" s="168">
        <v>5</v>
      </c>
      <c r="CY180" s="168" t="s">
        <v>2233</v>
      </c>
      <c r="CZ180" s="173" t="s">
        <v>834</v>
      </c>
      <c r="DA180" s="171"/>
      <c r="DB180" s="371"/>
      <c r="DC180" s="371">
        <f t="shared" si="18"/>
        <v>25</v>
      </c>
      <c r="DD180" s="371"/>
      <c r="DE180" s="371"/>
      <c r="DF180" s="371"/>
      <c r="DG180" s="371"/>
      <c r="DH180" s="371"/>
      <c r="DI180" s="371"/>
      <c r="DJ180" s="371"/>
      <c r="DK180" s="371"/>
      <c r="DL180" s="371"/>
      <c r="DM180" s="371"/>
      <c r="DN180" s="371"/>
      <c r="DO180" s="371"/>
      <c r="DP180" s="371"/>
      <c r="DQ180" s="371"/>
      <c r="DR180" s="371"/>
    </row>
    <row r="181" spans="1:122" ht="18.75" x14ac:dyDescent="0.3">
      <c r="A181" s="325" t="s">
        <v>2234</v>
      </c>
      <c r="B181" s="326">
        <v>135</v>
      </c>
      <c r="C181" s="327" t="s">
        <v>2235</v>
      </c>
      <c r="D181" s="424">
        <v>4</v>
      </c>
      <c r="E181" s="328"/>
      <c r="F181" s="173" t="s">
        <v>546</v>
      </c>
      <c r="G181" s="173"/>
      <c r="H181" s="373">
        <v>6.5</v>
      </c>
      <c r="I181" s="427" t="s">
        <v>2236</v>
      </c>
      <c r="J181" s="173">
        <v>5.6</v>
      </c>
      <c r="K181" s="371" t="s">
        <v>2181</v>
      </c>
      <c r="L181" s="426" t="s">
        <v>834</v>
      </c>
      <c r="M181" s="427"/>
      <c r="N181" s="173" t="s">
        <v>834</v>
      </c>
      <c r="O181" s="171"/>
      <c r="P181" s="569">
        <v>10</v>
      </c>
      <c r="Q181" s="427" t="s">
        <v>2182</v>
      </c>
      <c r="R181" s="457" t="s">
        <v>834</v>
      </c>
      <c r="S181" s="168" t="s">
        <v>2237</v>
      </c>
      <c r="T181" s="428">
        <v>5.75</v>
      </c>
      <c r="U181" s="376"/>
      <c r="V181" s="429">
        <v>6</v>
      </c>
      <c r="W181" s="377" t="s">
        <v>2238</v>
      </c>
      <c r="X181" s="167">
        <v>4</v>
      </c>
      <c r="Y181" s="168"/>
      <c r="Z181" s="167">
        <v>4</v>
      </c>
      <c r="AA181" s="168"/>
      <c r="AB181" s="167">
        <v>6</v>
      </c>
      <c r="AC181" s="168"/>
      <c r="AD181" s="430" t="s">
        <v>995</v>
      </c>
      <c r="AE181" s="168" t="s">
        <v>2142</v>
      </c>
      <c r="AF181" s="173" t="s">
        <v>834</v>
      </c>
      <c r="AG181" s="171" t="s">
        <v>546</v>
      </c>
      <c r="AH181" s="489">
        <v>6</v>
      </c>
      <c r="AI181" s="453" t="s">
        <v>2239</v>
      </c>
      <c r="AJ181" s="373">
        <v>6.5</v>
      </c>
      <c r="AK181" s="431" t="s">
        <v>863</v>
      </c>
      <c r="AL181" s="167">
        <v>6</v>
      </c>
      <c r="AM181" s="168" t="s">
        <v>2240</v>
      </c>
      <c r="AN181" s="173">
        <v>5</v>
      </c>
      <c r="AO181" s="171"/>
      <c r="AP181" s="432" t="s">
        <v>834</v>
      </c>
      <c r="AQ181" s="168"/>
      <c r="AR181" s="173">
        <v>10</v>
      </c>
      <c r="AS181" s="171" t="s">
        <v>2241</v>
      </c>
      <c r="AT181" s="173" t="s">
        <v>834</v>
      </c>
      <c r="AU181" s="171"/>
      <c r="AV181" s="381" t="s">
        <v>834</v>
      </c>
      <c r="AW181" s="168"/>
      <c r="AX181" s="433">
        <v>6.875</v>
      </c>
      <c r="AY181" s="427"/>
      <c r="AZ181" s="167">
        <v>7</v>
      </c>
      <c r="BA181" s="427" t="s">
        <v>2242</v>
      </c>
      <c r="BB181" s="164">
        <v>4.2249999999999996</v>
      </c>
      <c r="BC181" s="168"/>
      <c r="BD181" s="464" t="s">
        <v>546</v>
      </c>
      <c r="BE181" s="427"/>
      <c r="BF181" s="384">
        <v>5.5</v>
      </c>
      <c r="BG181" s="168" t="s">
        <v>2243</v>
      </c>
      <c r="BH181" s="442">
        <v>9</v>
      </c>
      <c r="BI181" s="168" t="s">
        <v>2169</v>
      </c>
      <c r="BJ181" s="167" t="s">
        <v>546</v>
      </c>
      <c r="BK181" s="167"/>
      <c r="BL181" s="167">
        <v>6.875</v>
      </c>
      <c r="BM181" s="168" t="s">
        <v>2244</v>
      </c>
      <c r="BN181" s="173">
        <v>5.125</v>
      </c>
      <c r="BO181" s="171" t="s">
        <v>546</v>
      </c>
      <c r="BP181" s="435" t="s">
        <v>834</v>
      </c>
      <c r="BQ181" s="436" t="s">
        <v>546</v>
      </c>
      <c r="BR181" s="445">
        <v>4.75</v>
      </c>
      <c r="BS181" s="168" t="s">
        <v>2245</v>
      </c>
      <c r="BT181" s="167">
        <v>5</v>
      </c>
      <c r="BU181" s="168"/>
      <c r="BV181" s="373" t="s">
        <v>995</v>
      </c>
      <c r="BW181" s="168" t="s">
        <v>2171</v>
      </c>
      <c r="BX181" s="437">
        <v>4.5</v>
      </c>
      <c r="BY181" s="171"/>
      <c r="BZ181" s="442"/>
      <c r="CA181" s="168"/>
      <c r="CB181" s="167" t="s">
        <v>834</v>
      </c>
      <c r="CC181" s="168" t="s">
        <v>2189</v>
      </c>
      <c r="CD181" s="173" t="s">
        <v>834</v>
      </c>
      <c r="CE181" s="171"/>
      <c r="CF181" s="373">
        <v>5</v>
      </c>
      <c r="CG181" s="175" t="s">
        <v>2246</v>
      </c>
      <c r="CH181" s="167">
        <v>4.5</v>
      </c>
      <c r="CI181" s="168" t="s">
        <v>2247</v>
      </c>
      <c r="CJ181" s="167">
        <v>7</v>
      </c>
      <c r="CK181" s="168" t="s">
        <v>2248</v>
      </c>
      <c r="CL181" s="385">
        <v>6.25</v>
      </c>
      <c r="CM181" s="168"/>
      <c r="CN181" s="385">
        <v>4.7</v>
      </c>
      <c r="CO181" s="168"/>
      <c r="CP181" s="167">
        <v>6</v>
      </c>
      <c r="CQ181" s="168"/>
      <c r="CR181" s="373" t="s">
        <v>834</v>
      </c>
      <c r="CS181" s="427"/>
      <c r="CT181" s="432">
        <v>1.5</v>
      </c>
      <c r="CU181" s="168" t="s">
        <v>840</v>
      </c>
      <c r="CV181" s="432">
        <v>6</v>
      </c>
      <c r="CW181" s="168"/>
      <c r="CX181" s="168">
        <v>5</v>
      </c>
      <c r="CY181" s="168" t="s">
        <v>2249</v>
      </c>
      <c r="CZ181" s="173">
        <v>4</v>
      </c>
      <c r="DA181" s="171" t="s">
        <v>2178</v>
      </c>
      <c r="DB181" s="371" t="s">
        <v>546</v>
      </c>
      <c r="DC181" s="371">
        <f t="shared" si="18"/>
        <v>34</v>
      </c>
      <c r="DD181" s="371"/>
      <c r="DE181" s="371"/>
      <c r="DF181" s="371"/>
      <c r="DG181" s="371"/>
      <c r="DH181" s="371"/>
      <c r="DI181" s="371"/>
      <c r="DJ181" s="371"/>
      <c r="DK181" s="371"/>
      <c r="DL181" s="371"/>
      <c r="DM181" s="371"/>
      <c r="DN181" s="371"/>
      <c r="DO181" s="371"/>
      <c r="DP181" s="371"/>
      <c r="DQ181" s="371"/>
      <c r="DR181" s="371"/>
    </row>
    <row r="182" spans="1:122" ht="18.75" x14ac:dyDescent="0.3">
      <c r="A182" s="325">
        <v>71312</v>
      </c>
      <c r="B182" s="326">
        <v>136</v>
      </c>
      <c r="C182" s="327" t="s">
        <v>2250</v>
      </c>
      <c r="D182" s="424">
        <v>4</v>
      </c>
      <c r="E182" s="328"/>
      <c r="F182" s="173"/>
      <c r="G182" s="173"/>
      <c r="H182" s="373">
        <v>6.5</v>
      </c>
      <c r="I182" s="427"/>
      <c r="J182" s="173">
        <v>5.6</v>
      </c>
      <c r="K182" s="371" t="s">
        <v>2181</v>
      </c>
      <c r="L182" s="426" t="s">
        <v>834</v>
      </c>
      <c r="M182" s="427"/>
      <c r="N182" s="173" t="s">
        <v>834</v>
      </c>
      <c r="O182" s="171"/>
      <c r="P182" s="445" t="s">
        <v>834</v>
      </c>
      <c r="Q182" s="427"/>
      <c r="R182" s="457">
        <v>0.39800000000000002</v>
      </c>
      <c r="S182" s="168" t="s">
        <v>2251</v>
      </c>
      <c r="T182" s="428" t="s">
        <v>834</v>
      </c>
      <c r="U182" s="376"/>
      <c r="V182" s="429">
        <v>4</v>
      </c>
      <c r="W182" s="377" t="s">
        <v>2252</v>
      </c>
      <c r="X182" s="167" t="s">
        <v>834</v>
      </c>
      <c r="Y182" s="168" t="s">
        <v>2253</v>
      </c>
      <c r="Z182" s="167">
        <v>4</v>
      </c>
      <c r="AA182" s="168"/>
      <c r="AB182" s="167" t="s">
        <v>834</v>
      </c>
      <c r="AC182" s="168"/>
      <c r="AD182" s="430" t="s">
        <v>995</v>
      </c>
      <c r="AE182" s="168" t="s">
        <v>2142</v>
      </c>
      <c r="AF182" s="173" t="s">
        <v>834</v>
      </c>
      <c r="AG182" s="171"/>
      <c r="AH182" s="167">
        <v>6</v>
      </c>
      <c r="AI182" s="168"/>
      <c r="AJ182" s="373">
        <v>6.5</v>
      </c>
      <c r="AK182" s="431" t="s">
        <v>863</v>
      </c>
      <c r="AL182" s="167" t="s">
        <v>834</v>
      </c>
      <c r="AM182" s="168"/>
      <c r="AN182" s="173" t="s">
        <v>834</v>
      </c>
      <c r="AO182" s="171"/>
      <c r="AP182" s="432" t="s">
        <v>834</v>
      </c>
      <c r="AQ182" s="168"/>
      <c r="AR182" s="173">
        <v>10</v>
      </c>
      <c r="AS182" s="171" t="s">
        <v>2167</v>
      </c>
      <c r="AT182" s="173" t="s">
        <v>834</v>
      </c>
      <c r="AU182" s="171"/>
      <c r="AV182" s="381" t="s">
        <v>834</v>
      </c>
      <c r="AW182" s="168"/>
      <c r="AX182" s="433">
        <v>6.875</v>
      </c>
      <c r="AY182" s="427"/>
      <c r="AZ182" s="167" t="s">
        <v>834</v>
      </c>
      <c r="BA182" s="427"/>
      <c r="BB182" s="164" t="s">
        <v>834</v>
      </c>
      <c r="BC182" s="168" t="s">
        <v>2254</v>
      </c>
      <c r="BD182" s="464" t="s">
        <v>834</v>
      </c>
      <c r="BE182" s="427" t="s">
        <v>2255</v>
      </c>
      <c r="BF182" s="384" t="s">
        <v>834</v>
      </c>
      <c r="BG182" s="168" t="s">
        <v>2256</v>
      </c>
      <c r="BH182" s="442" t="s">
        <v>834</v>
      </c>
      <c r="BI182" s="168"/>
      <c r="BJ182" s="167"/>
      <c r="BK182" s="167"/>
      <c r="BL182" s="167" t="s">
        <v>834</v>
      </c>
      <c r="BM182" s="168"/>
      <c r="BN182" s="173">
        <v>5.125</v>
      </c>
      <c r="BO182" s="171"/>
      <c r="BP182" s="435" t="s">
        <v>834</v>
      </c>
      <c r="BQ182" s="436"/>
      <c r="BR182" s="373" t="s">
        <v>834</v>
      </c>
      <c r="BS182" s="168"/>
      <c r="BT182" s="167" t="s">
        <v>834</v>
      </c>
      <c r="BU182" s="168"/>
      <c r="BV182" s="373" t="s">
        <v>995</v>
      </c>
      <c r="BW182" s="168" t="s">
        <v>2171</v>
      </c>
      <c r="BX182" s="437" t="s">
        <v>834</v>
      </c>
      <c r="BY182" s="171" t="s">
        <v>2257</v>
      </c>
      <c r="BZ182" s="442" t="s">
        <v>546</v>
      </c>
      <c r="CA182" s="168" t="s">
        <v>2258</v>
      </c>
      <c r="CB182" s="167" t="s">
        <v>834</v>
      </c>
      <c r="CC182" s="168"/>
      <c r="CD182" s="173" t="s">
        <v>834</v>
      </c>
      <c r="CE182" s="171"/>
      <c r="CF182" s="167" t="s">
        <v>834</v>
      </c>
      <c r="CG182" s="175"/>
      <c r="CH182" s="167">
        <v>4.5</v>
      </c>
      <c r="CI182" s="168" t="s">
        <v>2259</v>
      </c>
      <c r="CJ182" s="167" t="s">
        <v>834</v>
      </c>
      <c r="CK182" s="168"/>
      <c r="CL182" s="385" t="s">
        <v>834</v>
      </c>
      <c r="CM182" s="168" t="s">
        <v>2260</v>
      </c>
      <c r="CN182" s="385" t="s">
        <v>834</v>
      </c>
      <c r="CO182" s="168"/>
      <c r="CP182" s="167" t="s">
        <v>834</v>
      </c>
      <c r="CQ182" s="168"/>
      <c r="CR182" s="373" t="s">
        <v>834</v>
      </c>
      <c r="CS182" s="427"/>
      <c r="CT182" s="432">
        <v>1.5</v>
      </c>
      <c r="CU182" s="168" t="s">
        <v>840</v>
      </c>
      <c r="CV182" s="432">
        <v>6</v>
      </c>
      <c r="CW182" s="168"/>
      <c r="CX182" s="168">
        <v>5</v>
      </c>
      <c r="CY182" s="168"/>
      <c r="CZ182" s="173" t="s">
        <v>834</v>
      </c>
      <c r="DA182" s="171"/>
      <c r="DB182" s="371"/>
      <c r="DC182" s="371">
        <f t="shared" si="18"/>
        <v>15</v>
      </c>
      <c r="DD182" s="371"/>
      <c r="DE182" s="371"/>
      <c r="DF182" s="371"/>
      <c r="DG182" s="371"/>
      <c r="DH182" s="371"/>
      <c r="DI182" s="371"/>
      <c r="DJ182" s="371"/>
      <c r="DK182" s="371"/>
      <c r="DL182" s="371"/>
      <c r="DM182" s="371"/>
      <c r="DN182" s="371"/>
      <c r="DO182" s="371"/>
      <c r="DP182" s="371"/>
      <c r="DQ182" s="371"/>
      <c r="DR182" s="371"/>
    </row>
    <row r="183" spans="1:122" ht="18.75" x14ac:dyDescent="0.3">
      <c r="A183" s="325">
        <v>713990</v>
      </c>
      <c r="B183" s="326">
        <v>137</v>
      </c>
      <c r="C183" s="327" t="s">
        <v>2261</v>
      </c>
      <c r="D183" s="424">
        <v>4</v>
      </c>
      <c r="E183" s="328"/>
      <c r="F183" s="173"/>
      <c r="G183" s="173"/>
      <c r="H183" s="373" t="s">
        <v>834</v>
      </c>
      <c r="I183" s="427"/>
      <c r="J183" s="173" t="s">
        <v>834</v>
      </c>
      <c r="K183" s="371" t="s">
        <v>2262</v>
      </c>
      <c r="L183" s="426" t="s">
        <v>834</v>
      </c>
      <c r="M183" s="427"/>
      <c r="N183" s="173" t="s">
        <v>834</v>
      </c>
      <c r="O183" s="171"/>
      <c r="P183" s="569">
        <v>10</v>
      </c>
      <c r="Q183" s="427" t="s">
        <v>2263</v>
      </c>
      <c r="R183" s="457" t="s">
        <v>834</v>
      </c>
      <c r="S183" s="168" t="s">
        <v>2264</v>
      </c>
      <c r="T183" s="428">
        <v>5.75</v>
      </c>
      <c r="U183" s="376"/>
      <c r="V183" s="441" t="s">
        <v>834</v>
      </c>
      <c r="W183" s="377" t="s">
        <v>2265</v>
      </c>
      <c r="X183" s="167" t="s">
        <v>834</v>
      </c>
      <c r="Y183" s="168" t="s">
        <v>2266</v>
      </c>
      <c r="Z183" s="167">
        <v>4</v>
      </c>
      <c r="AA183" s="168"/>
      <c r="AB183" s="167">
        <v>6</v>
      </c>
      <c r="AC183" s="168"/>
      <c r="AD183" s="430" t="s">
        <v>834</v>
      </c>
      <c r="AE183" s="168"/>
      <c r="AF183" s="173" t="s">
        <v>834</v>
      </c>
      <c r="AG183" s="171"/>
      <c r="AH183" s="544" t="s">
        <v>834</v>
      </c>
      <c r="AI183" s="453" t="s">
        <v>2267</v>
      </c>
      <c r="AJ183" s="373">
        <v>6.5</v>
      </c>
      <c r="AK183" s="431" t="s">
        <v>863</v>
      </c>
      <c r="AL183" s="167" t="s">
        <v>834</v>
      </c>
      <c r="AM183" s="168" t="s">
        <v>2268</v>
      </c>
      <c r="AN183" s="173" t="s">
        <v>834</v>
      </c>
      <c r="AO183" s="171"/>
      <c r="AP183" s="432" t="s">
        <v>834</v>
      </c>
      <c r="AQ183" s="168"/>
      <c r="AR183" s="173">
        <v>10</v>
      </c>
      <c r="AS183" s="171" t="s">
        <v>546</v>
      </c>
      <c r="AT183" s="173" t="s">
        <v>834</v>
      </c>
      <c r="AU183" s="171"/>
      <c r="AV183" s="381" t="s">
        <v>834</v>
      </c>
      <c r="AW183" s="168"/>
      <c r="AX183" s="443">
        <v>6.875</v>
      </c>
      <c r="AY183" s="427" t="s">
        <v>2269</v>
      </c>
      <c r="AZ183" s="373">
        <v>7</v>
      </c>
      <c r="BA183" s="427" t="s">
        <v>2270</v>
      </c>
      <c r="BB183" s="164">
        <v>4.2249999999999996</v>
      </c>
      <c r="BC183" s="168"/>
      <c r="BD183" s="464"/>
      <c r="BE183" s="427"/>
      <c r="BF183" s="384">
        <v>5.5</v>
      </c>
      <c r="BG183" s="168" t="s">
        <v>2271</v>
      </c>
      <c r="BH183" s="442" t="s">
        <v>834</v>
      </c>
      <c r="BI183" s="168"/>
      <c r="BJ183" s="167"/>
      <c r="BK183" s="167"/>
      <c r="BL183" s="167">
        <v>6.875</v>
      </c>
      <c r="BM183" s="168" t="s">
        <v>2272</v>
      </c>
      <c r="BN183" s="173">
        <v>5.125</v>
      </c>
      <c r="BO183" s="171" t="s">
        <v>2273</v>
      </c>
      <c r="BP183" s="466">
        <v>4</v>
      </c>
      <c r="BQ183" s="436" t="s">
        <v>2274</v>
      </c>
      <c r="BR183" s="445">
        <v>4.75</v>
      </c>
      <c r="BS183" s="168" t="s">
        <v>2275</v>
      </c>
      <c r="BT183" s="167" t="s">
        <v>834</v>
      </c>
      <c r="BU183" s="168"/>
      <c r="BV183" s="373" t="s">
        <v>834</v>
      </c>
      <c r="BW183" s="168" t="s">
        <v>2171</v>
      </c>
      <c r="BX183" s="437">
        <v>4.5</v>
      </c>
      <c r="BY183" s="171" t="s">
        <v>2276</v>
      </c>
      <c r="BZ183" s="432" t="s">
        <v>546</v>
      </c>
      <c r="CA183" s="168"/>
      <c r="CB183" s="167" t="s">
        <v>834</v>
      </c>
      <c r="CC183" s="168" t="s">
        <v>2189</v>
      </c>
      <c r="CD183" s="173" t="s">
        <v>834</v>
      </c>
      <c r="CE183" s="171"/>
      <c r="CF183" s="167">
        <v>5</v>
      </c>
      <c r="CG183" s="175" t="s">
        <v>2277</v>
      </c>
      <c r="CH183" s="167" t="s">
        <v>834</v>
      </c>
      <c r="CI183" s="168"/>
      <c r="CJ183" s="373">
        <v>7</v>
      </c>
      <c r="CK183" s="444" t="s">
        <v>2278</v>
      </c>
      <c r="CL183" s="385" t="s">
        <v>834</v>
      </c>
      <c r="CM183" s="168"/>
      <c r="CN183" s="385" t="s">
        <v>834</v>
      </c>
      <c r="CO183" s="168"/>
      <c r="CP183" s="167" t="s">
        <v>834</v>
      </c>
      <c r="CQ183" s="168"/>
      <c r="CR183" s="373" t="s">
        <v>834</v>
      </c>
      <c r="CS183" s="427"/>
      <c r="CT183" s="455">
        <v>1.5</v>
      </c>
      <c r="CU183" s="168" t="s">
        <v>2279</v>
      </c>
      <c r="CV183" s="432">
        <v>6</v>
      </c>
      <c r="CW183" s="168" t="s">
        <v>2280</v>
      </c>
      <c r="CX183" s="168">
        <v>5</v>
      </c>
      <c r="CY183" s="168" t="s">
        <v>2281</v>
      </c>
      <c r="CZ183" s="173" t="s">
        <v>834</v>
      </c>
      <c r="DA183" s="171" t="s">
        <v>2192</v>
      </c>
      <c r="DB183" s="168" t="s">
        <v>546</v>
      </c>
      <c r="DC183" s="371">
        <f t="shared" si="18"/>
        <v>21</v>
      </c>
      <c r="DD183" s="371"/>
      <c r="DE183" s="371"/>
      <c r="DF183" s="371"/>
      <c r="DG183" s="371"/>
      <c r="DH183" s="371"/>
      <c r="DI183" s="371"/>
      <c r="DJ183" s="371"/>
      <c r="DK183" s="371"/>
      <c r="DL183" s="371"/>
      <c r="DM183" s="371"/>
      <c r="DN183" s="371"/>
      <c r="DO183" s="371"/>
      <c r="DP183" s="371"/>
      <c r="DQ183" s="371"/>
      <c r="DR183" s="371"/>
    </row>
    <row r="184" spans="1:122" ht="18.75" x14ac:dyDescent="0.3">
      <c r="A184" s="325" t="s">
        <v>2282</v>
      </c>
      <c r="B184" s="326">
        <v>138</v>
      </c>
      <c r="C184" s="327" t="s">
        <v>2283</v>
      </c>
      <c r="D184" s="424" t="s">
        <v>834</v>
      </c>
      <c r="E184" s="328"/>
      <c r="F184" s="173"/>
      <c r="G184" s="173"/>
      <c r="H184" s="373" t="s">
        <v>834</v>
      </c>
      <c r="I184" s="427" t="s">
        <v>2284</v>
      </c>
      <c r="J184" s="173">
        <v>5.6</v>
      </c>
      <c r="K184" s="371" t="s">
        <v>1531</v>
      </c>
      <c r="L184" s="426" t="s">
        <v>834</v>
      </c>
      <c r="M184" s="427"/>
      <c r="N184" s="173" t="s">
        <v>834</v>
      </c>
      <c r="O184" s="171"/>
      <c r="P184" s="569">
        <v>10</v>
      </c>
      <c r="Q184" s="427" t="s">
        <v>2285</v>
      </c>
      <c r="R184" s="457" t="s">
        <v>834</v>
      </c>
      <c r="S184" s="168" t="s">
        <v>2286</v>
      </c>
      <c r="T184" s="428" t="s">
        <v>834</v>
      </c>
      <c r="U184" s="376"/>
      <c r="V184" s="429">
        <v>6</v>
      </c>
      <c r="W184" s="377" t="s">
        <v>2287</v>
      </c>
      <c r="X184" s="167" t="s">
        <v>834</v>
      </c>
      <c r="Y184" s="168"/>
      <c r="Z184" s="167">
        <v>4</v>
      </c>
      <c r="AA184" s="168"/>
      <c r="AB184" s="167" t="s">
        <v>834</v>
      </c>
      <c r="AC184" s="168" t="s">
        <v>2288</v>
      </c>
      <c r="AD184" s="430" t="s">
        <v>834</v>
      </c>
      <c r="AE184" s="168"/>
      <c r="AF184" s="173" t="s">
        <v>834</v>
      </c>
      <c r="AG184" s="171"/>
      <c r="AH184" s="167">
        <v>6</v>
      </c>
      <c r="AI184" s="453" t="s">
        <v>2289</v>
      </c>
      <c r="AJ184" s="373">
        <v>6.5</v>
      </c>
      <c r="AK184" s="431" t="s">
        <v>863</v>
      </c>
      <c r="AL184" s="167" t="s">
        <v>834</v>
      </c>
      <c r="AM184" s="168"/>
      <c r="AN184" s="173">
        <v>5</v>
      </c>
      <c r="AO184" s="171" t="s">
        <v>2290</v>
      </c>
      <c r="AP184" s="432" t="s">
        <v>834</v>
      </c>
      <c r="AQ184" s="168"/>
      <c r="AR184" s="173" t="s">
        <v>834</v>
      </c>
      <c r="AS184" s="171" t="s">
        <v>546</v>
      </c>
      <c r="AT184" s="173" t="s">
        <v>834</v>
      </c>
      <c r="AU184" s="171"/>
      <c r="AV184" s="381" t="s">
        <v>834</v>
      </c>
      <c r="AW184" s="168"/>
      <c r="AX184" s="443" t="s">
        <v>834</v>
      </c>
      <c r="AY184" s="427" t="s">
        <v>2291</v>
      </c>
      <c r="AZ184" s="167" t="s">
        <v>834</v>
      </c>
      <c r="BA184" s="427"/>
      <c r="BB184" s="165">
        <v>4.2249999999999996</v>
      </c>
      <c r="BC184" s="168" t="s">
        <v>2292</v>
      </c>
      <c r="BD184" s="464" t="s">
        <v>546</v>
      </c>
      <c r="BE184" s="427"/>
      <c r="BF184" s="384">
        <v>5.5</v>
      </c>
      <c r="BG184" s="168" t="s">
        <v>2271</v>
      </c>
      <c r="BH184" s="442" t="s">
        <v>834</v>
      </c>
      <c r="BI184" s="168" t="s">
        <v>2186</v>
      </c>
      <c r="BJ184" s="167" t="s">
        <v>546</v>
      </c>
      <c r="BK184" s="167"/>
      <c r="BL184" s="373">
        <v>6.875</v>
      </c>
      <c r="BM184" s="168" t="s">
        <v>2293</v>
      </c>
      <c r="BN184" s="173">
        <v>5.125</v>
      </c>
      <c r="BO184" s="171"/>
      <c r="BP184" s="435">
        <v>4</v>
      </c>
      <c r="BQ184" s="436" t="s">
        <v>546</v>
      </c>
      <c r="BR184" s="167" t="s">
        <v>834</v>
      </c>
      <c r="BS184" s="168" t="s">
        <v>2294</v>
      </c>
      <c r="BT184" s="167" t="s">
        <v>834</v>
      </c>
      <c r="BU184" s="168" t="s">
        <v>2295</v>
      </c>
      <c r="BV184" s="441">
        <v>5.75</v>
      </c>
      <c r="BW184" s="168" t="s">
        <v>2296</v>
      </c>
      <c r="BX184" s="437">
        <v>4.5</v>
      </c>
      <c r="BY184" s="171"/>
      <c r="BZ184" s="432"/>
      <c r="CA184" s="168"/>
      <c r="CB184" s="167" t="s">
        <v>834</v>
      </c>
      <c r="CC184" s="168" t="s">
        <v>2189</v>
      </c>
      <c r="CD184" s="173" t="s">
        <v>834</v>
      </c>
      <c r="CE184" s="171"/>
      <c r="CF184" s="167">
        <v>5</v>
      </c>
      <c r="CG184" s="175" t="s">
        <v>2297</v>
      </c>
      <c r="CH184" s="167">
        <v>4.5</v>
      </c>
      <c r="CI184" s="168"/>
      <c r="CJ184" s="167">
        <v>7</v>
      </c>
      <c r="CK184" s="168"/>
      <c r="CL184" s="385">
        <v>6.25</v>
      </c>
      <c r="CM184" s="168" t="s">
        <v>2298</v>
      </c>
      <c r="CN184" s="385">
        <v>4.7</v>
      </c>
      <c r="CO184" s="168"/>
      <c r="CP184" s="167">
        <v>6</v>
      </c>
      <c r="CQ184" s="168" t="s">
        <v>2299</v>
      </c>
      <c r="CR184" s="373" t="s">
        <v>834</v>
      </c>
      <c r="CS184" s="427"/>
      <c r="CT184" s="432" t="s">
        <v>834</v>
      </c>
      <c r="CU184" s="168" t="s">
        <v>2300</v>
      </c>
      <c r="CV184" s="442">
        <v>6</v>
      </c>
      <c r="CW184" s="168" t="s">
        <v>2301</v>
      </c>
      <c r="CX184" s="168">
        <v>5</v>
      </c>
      <c r="CY184" s="168" t="s">
        <v>2302</v>
      </c>
      <c r="CZ184" s="173" t="s">
        <v>834</v>
      </c>
      <c r="DA184" s="171"/>
      <c r="DB184" s="371"/>
      <c r="DC184" s="371">
        <f t="shared" si="18"/>
        <v>22</v>
      </c>
      <c r="DD184" s="371"/>
      <c r="DE184" s="371"/>
      <c r="DF184" s="371"/>
      <c r="DG184" s="371"/>
      <c r="DH184" s="371"/>
      <c r="DI184" s="371"/>
      <c r="DJ184" s="371"/>
      <c r="DK184" s="371"/>
      <c r="DL184" s="371"/>
      <c r="DM184" s="371"/>
      <c r="DN184" s="371"/>
      <c r="DO184" s="371"/>
      <c r="DP184" s="371"/>
      <c r="DQ184" s="371"/>
      <c r="DR184" s="371"/>
    </row>
    <row r="185" spans="1:122" ht="18.75" x14ac:dyDescent="0.3">
      <c r="A185" s="325">
        <v>7111</v>
      </c>
      <c r="B185" s="326">
        <v>139</v>
      </c>
      <c r="C185" s="327" t="s">
        <v>2303</v>
      </c>
      <c r="D185" s="424">
        <v>4</v>
      </c>
      <c r="E185" s="328"/>
      <c r="F185" s="173"/>
      <c r="G185" s="173"/>
      <c r="H185" s="373">
        <v>6.5</v>
      </c>
      <c r="I185" s="427"/>
      <c r="J185" s="173" t="s">
        <v>834</v>
      </c>
      <c r="K185" s="371" t="s">
        <v>2304</v>
      </c>
      <c r="L185" s="426" t="s">
        <v>834</v>
      </c>
      <c r="M185" s="427"/>
      <c r="N185" s="173" t="s">
        <v>834</v>
      </c>
      <c r="O185" s="171"/>
      <c r="P185" s="569">
        <v>10</v>
      </c>
      <c r="Q185" s="427" t="s">
        <v>2305</v>
      </c>
      <c r="R185" s="457">
        <v>0.39800000000000002</v>
      </c>
      <c r="S185" s="168" t="s">
        <v>837</v>
      </c>
      <c r="T185" s="428" t="s">
        <v>834</v>
      </c>
      <c r="U185" s="376" t="s">
        <v>2306</v>
      </c>
      <c r="V185" s="429">
        <v>6</v>
      </c>
      <c r="W185" s="377"/>
      <c r="X185" s="167">
        <v>4</v>
      </c>
      <c r="Y185" s="168"/>
      <c r="Z185" s="167">
        <v>4</v>
      </c>
      <c r="AA185" s="168"/>
      <c r="AB185" s="167">
        <v>6</v>
      </c>
      <c r="AC185" s="168"/>
      <c r="AD185" s="430" t="s">
        <v>834</v>
      </c>
      <c r="AE185" s="168"/>
      <c r="AF185" s="173" t="s">
        <v>834</v>
      </c>
      <c r="AG185" s="171"/>
      <c r="AH185" s="167">
        <v>6</v>
      </c>
      <c r="AI185" s="168"/>
      <c r="AJ185" s="373">
        <v>6.5</v>
      </c>
      <c r="AK185" s="431" t="s">
        <v>863</v>
      </c>
      <c r="AL185" s="167">
        <v>6</v>
      </c>
      <c r="AM185" s="168"/>
      <c r="AN185" s="173">
        <v>5</v>
      </c>
      <c r="AO185" s="171" t="s">
        <v>2307</v>
      </c>
      <c r="AP185" s="432" t="s">
        <v>834</v>
      </c>
      <c r="AQ185" s="168"/>
      <c r="AR185" s="173">
        <v>10</v>
      </c>
      <c r="AS185" s="171" t="s">
        <v>2308</v>
      </c>
      <c r="AT185" s="173" t="s">
        <v>834</v>
      </c>
      <c r="AU185" s="171"/>
      <c r="AV185" s="381" t="s">
        <v>834</v>
      </c>
      <c r="AW185" s="168"/>
      <c r="AX185" s="443" t="s">
        <v>834</v>
      </c>
      <c r="AY185" s="427" t="s">
        <v>2309</v>
      </c>
      <c r="AZ185" s="373" t="s">
        <v>834</v>
      </c>
      <c r="BA185" s="427" t="s">
        <v>2310</v>
      </c>
      <c r="BB185" s="164">
        <v>4.2249999999999996</v>
      </c>
      <c r="BC185" s="168"/>
      <c r="BD185" s="464"/>
      <c r="BE185" s="427"/>
      <c r="BF185" s="384">
        <v>5.5</v>
      </c>
      <c r="BG185" s="168"/>
      <c r="BH185" s="442">
        <v>9</v>
      </c>
      <c r="BI185" s="168" t="s">
        <v>2311</v>
      </c>
      <c r="BJ185" s="167" t="s">
        <v>546</v>
      </c>
      <c r="BK185" s="167"/>
      <c r="BL185" s="373">
        <v>6.875</v>
      </c>
      <c r="BM185" s="168"/>
      <c r="BN185" s="173">
        <v>5.125</v>
      </c>
      <c r="BO185" s="171" t="s">
        <v>2312</v>
      </c>
      <c r="BP185" s="435" t="s">
        <v>834</v>
      </c>
      <c r="BQ185" s="436" t="s">
        <v>546</v>
      </c>
      <c r="BR185" s="385">
        <v>4.75</v>
      </c>
      <c r="BS185" s="168" t="s">
        <v>546</v>
      </c>
      <c r="BT185" s="167">
        <v>5</v>
      </c>
      <c r="BU185" s="168"/>
      <c r="BV185" s="373" t="s">
        <v>995</v>
      </c>
      <c r="BW185" s="168" t="s">
        <v>2171</v>
      </c>
      <c r="BX185" s="437">
        <v>4.5</v>
      </c>
      <c r="BY185" s="171"/>
      <c r="BZ185" s="432"/>
      <c r="CA185" s="168"/>
      <c r="CB185" s="167" t="s">
        <v>834</v>
      </c>
      <c r="CC185" s="168" t="s">
        <v>2189</v>
      </c>
      <c r="CD185" s="173" t="s">
        <v>834</v>
      </c>
      <c r="CE185" s="171"/>
      <c r="CF185" s="167">
        <v>5</v>
      </c>
      <c r="CG185" s="175" t="s">
        <v>2190</v>
      </c>
      <c r="CH185" s="167">
        <v>4.5</v>
      </c>
      <c r="CI185" s="168"/>
      <c r="CJ185" s="167">
        <v>7</v>
      </c>
      <c r="CK185" s="168"/>
      <c r="CL185" s="385">
        <v>6.25</v>
      </c>
      <c r="CM185" s="168" t="s">
        <v>2313</v>
      </c>
      <c r="CN185" s="385">
        <v>4.7</v>
      </c>
      <c r="CO185" s="168"/>
      <c r="CP185" s="167">
        <v>6</v>
      </c>
      <c r="CQ185" s="168"/>
      <c r="CR185" s="373" t="s">
        <v>834</v>
      </c>
      <c r="CS185" s="427"/>
      <c r="CT185" s="432">
        <v>1.5</v>
      </c>
      <c r="CU185" s="168" t="s">
        <v>2314</v>
      </c>
      <c r="CV185" s="432">
        <v>6</v>
      </c>
      <c r="CW185" s="168"/>
      <c r="CX185" s="168">
        <v>5</v>
      </c>
      <c r="CY185" s="168"/>
      <c r="CZ185" s="173">
        <v>4</v>
      </c>
      <c r="DA185" s="171" t="s">
        <v>2192</v>
      </c>
      <c r="DB185" s="371" t="s">
        <v>546</v>
      </c>
      <c r="DC185" s="371">
        <f t="shared" si="18"/>
        <v>31</v>
      </c>
      <c r="DD185" s="371"/>
      <c r="DE185" s="371"/>
      <c r="DF185" s="371"/>
      <c r="DG185" s="371"/>
      <c r="DH185" s="371"/>
      <c r="DI185" s="371"/>
      <c r="DJ185" s="371"/>
      <c r="DK185" s="371"/>
      <c r="DL185" s="371"/>
      <c r="DM185" s="371"/>
      <c r="DN185" s="371"/>
      <c r="DO185" s="371"/>
      <c r="DP185" s="371"/>
      <c r="DQ185" s="371"/>
      <c r="DR185" s="371"/>
    </row>
    <row r="186" spans="1:122" ht="18.75" x14ac:dyDescent="0.3">
      <c r="A186" s="325">
        <v>71312</v>
      </c>
      <c r="B186" s="326">
        <v>140</v>
      </c>
      <c r="C186" s="327" t="s">
        <v>2315</v>
      </c>
      <c r="D186" s="424">
        <v>4</v>
      </c>
      <c r="E186" s="328"/>
      <c r="F186" s="173"/>
      <c r="G186" s="173"/>
      <c r="H186" s="373">
        <v>6.5</v>
      </c>
      <c r="I186" s="427"/>
      <c r="J186" s="173">
        <v>5.6</v>
      </c>
      <c r="K186" s="371" t="s">
        <v>2181</v>
      </c>
      <c r="L186" s="426" t="s">
        <v>834</v>
      </c>
      <c r="M186" s="427"/>
      <c r="N186" s="173" t="s">
        <v>834</v>
      </c>
      <c r="O186" s="171"/>
      <c r="P186" s="445" t="s">
        <v>834</v>
      </c>
      <c r="Q186" s="427"/>
      <c r="R186" s="457">
        <v>0.39800000000000002</v>
      </c>
      <c r="S186" s="168" t="s">
        <v>2316</v>
      </c>
      <c r="T186" s="428" t="s">
        <v>834</v>
      </c>
      <c r="U186" s="376"/>
      <c r="V186" s="429">
        <v>6</v>
      </c>
      <c r="W186" s="377"/>
      <c r="X186" s="167" t="s">
        <v>834</v>
      </c>
      <c r="Y186" s="168" t="s">
        <v>2317</v>
      </c>
      <c r="Z186" s="167">
        <v>4</v>
      </c>
      <c r="AA186" s="168"/>
      <c r="AB186" s="167" t="s">
        <v>834</v>
      </c>
      <c r="AC186" s="168"/>
      <c r="AD186" s="430" t="s">
        <v>995</v>
      </c>
      <c r="AE186" s="168" t="s">
        <v>2318</v>
      </c>
      <c r="AF186" s="173" t="s">
        <v>834</v>
      </c>
      <c r="AG186" s="171"/>
      <c r="AH186" s="167">
        <v>6</v>
      </c>
      <c r="AI186" s="168"/>
      <c r="AJ186" s="373">
        <v>6.5</v>
      </c>
      <c r="AK186" s="431" t="s">
        <v>863</v>
      </c>
      <c r="AL186" s="167" t="s">
        <v>834</v>
      </c>
      <c r="AM186" s="168"/>
      <c r="AN186" s="173" t="s">
        <v>834</v>
      </c>
      <c r="AO186" s="171"/>
      <c r="AP186" s="432" t="s">
        <v>834</v>
      </c>
      <c r="AQ186" s="168"/>
      <c r="AR186" s="173">
        <v>10</v>
      </c>
      <c r="AS186" s="171" t="s">
        <v>2167</v>
      </c>
      <c r="AT186" s="173" t="s">
        <v>834</v>
      </c>
      <c r="AU186" s="171"/>
      <c r="AV186" s="381" t="s">
        <v>834</v>
      </c>
      <c r="AW186" s="168"/>
      <c r="AX186" s="443">
        <v>6.875</v>
      </c>
      <c r="AY186" s="427"/>
      <c r="AZ186" s="373" t="s">
        <v>834</v>
      </c>
      <c r="BA186" s="427"/>
      <c r="BB186" s="164">
        <v>4.2249999999999996</v>
      </c>
      <c r="BC186" s="168" t="s">
        <v>2319</v>
      </c>
      <c r="BD186" s="464" t="s">
        <v>546</v>
      </c>
      <c r="BE186" s="427"/>
      <c r="BF186" s="384" t="s">
        <v>834</v>
      </c>
      <c r="BG186" s="168" t="s">
        <v>2256</v>
      </c>
      <c r="BH186" s="442" t="s">
        <v>834</v>
      </c>
      <c r="BI186" s="427" t="s">
        <v>2320</v>
      </c>
      <c r="BJ186" s="167" t="s">
        <v>546</v>
      </c>
      <c r="BK186" s="167"/>
      <c r="BL186" s="373" t="s">
        <v>834</v>
      </c>
      <c r="BM186" s="168"/>
      <c r="BN186" s="173">
        <v>5.125</v>
      </c>
      <c r="BO186" s="171"/>
      <c r="BP186" s="435" t="s">
        <v>834</v>
      </c>
      <c r="BQ186" s="436"/>
      <c r="BR186" s="167" t="s">
        <v>834</v>
      </c>
      <c r="BS186" s="168"/>
      <c r="BT186" s="167" t="s">
        <v>834</v>
      </c>
      <c r="BU186" s="168"/>
      <c r="BV186" s="373" t="s">
        <v>995</v>
      </c>
      <c r="BW186" s="168" t="s">
        <v>2171</v>
      </c>
      <c r="BX186" s="437" t="s">
        <v>834</v>
      </c>
      <c r="BY186" s="171" t="s">
        <v>2257</v>
      </c>
      <c r="BZ186" s="432" t="s">
        <v>546</v>
      </c>
      <c r="CA186" s="168"/>
      <c r="CB186" s="167" t="s">
        <v>834</v>
      </c>
      <c r="CC186" s="168"/>
      <c r="CD186" s="173" t="s">
        <v>834</v>
      </c>
      <c r="CE186" s="171"/>
      <c r="CF186" s="167" t="s">
        <v>834</v>
      </c>
      <c r="CG186" s="168"/>
      <c r="CH186" s="167">
        <v>4.5</v>
      </c>
      <c r="CI186" s="168" t="s">
        <v>2321</v>
      </c>
      <c r="CJ186" s="167" t="s">
        <v>834</v>
      </c>
      <c r="CK186" s="168" t="s">
        <v>2322</v>
      </c>
      <c r="CL186" s="445">
        <v>6.25</v>
      </c>
      <c r="CM186" s="168" t="s">
        <v>2323</v>
      </c>
      <c r="CN186" s="385" t="s">
        <v>834</v>
      </c>
      <c r="CO186" s="168" t="s">
        <v>2324</v>
      </c>
      <c r="CP186" s="167" t="s">
        <v>834</v>
      </c>
      <c r="CQ186" s="168"/>
      <c r="CR186" s="373" t="s">
        <v>834</v>
      </c>
      <c r="CS186" s="427"/>
      <c r="CT186" s="455">
        <v>1.5</v>
      </c>
      <c r="CU186" s="168" t="s">
        <v>2325</v>
      </c>
      <c r="CV186" s="432">
        <v>6</v>
      </c>
      <c r="CW186" s="168"/>
      <c r="CX186" s="168">
        <v>5</v>
      </c>
      <c r="CY186" s="168"/>
      <c r="CZ186" s="173" t="s">
        <v>834</v>
      </c>
      <c r="DA186" s="171"/>
      <c r="DB186" s="371"/>
      <c r="DC186" s="371">
        <f t="shared" si="18"/>
        <v>17</v>
      </c>
      <c r="DD186" s="371"/>
      <c r="DE186" s="371"/>
      <c r="DF186" s="371"/>
      <c r="DG186" s="371"/>
      <c r="DH186" s="371"/>
      <c r="DI186" s="371"/>
      <c r="DJ186" s="371"/>
      <c r="DK186" s="371"/>
      <c r="DL186" s="371"/>
      <c r="DM186" s="371"/>
      <c r="DN186" s="371"/>
      <c r="DO186" s="371"/>
      <c r="DP186" s="371"/>
      <c r="DQ186" s="371"/>
      <c r="DR186" s="371"/>
    </row>
    <row r="187" spans="1:122" ht="18.75" x14ac:dyDescent="0.3">
      <c r="A187" s="325">
        <v>711211</v>
      </c>
      <c r="B187" s="326">
        <v>141</v>
      </c>
      <c r="C187" s="327" t="s">
        <v>2326</v>
      </c>
      <c r="D187" s="424">
        <v>4</v>
      </c>
      <c r="E187" s="328"/>
      <c r="F187" s="173" t="s">
        <v>546</v>
      </c>
      <c r="G187" s="173"/>
      <c r="H187" s="373">
        <v>6.5</v>
      </c>
      <c r="I187" s="427"/>
      <c r="J187" s="173">
        <v>5.6</v>
      </c>
      <c r="K187" s="371" t="s">
        <v>2327</v>
      </c>
      <c r="L187" s="426" t="s">
        <v>834</v>
      </c>
      <c r="M187" s="427"/>
      <c r="N187" s="173" t="s">
        <v>834</v>
      </c>
      <c r="O187" s="171"/>
      <c r="P187" s="569">
        <v>10</v>
      </c>
      <c r="Q187" s="427" t="s">
        <v>2328</v>
      </c>
      <c r="R187" s="457">
        <v>0.39800000000000002</v>
      </c>
      <c r="S187" s="168" t="s">
        <v>837</v>
      </c>
      <c r="T187" s="561">
        <v>5.75</v>
      </c>
      <c r="U187" s="376" t="s">
        <v>2183</v>
      </c>
      <c r="V187" s="429">
        <v>6</v>
      </c>
      <c r="W187" s="377" t="s">
        <v>2329</v>
      </c>
      <c r="X187" s="167">
        <v>4</v>
      </c>
      <c r="Y187" s="168"/>
      <c r="Z187" s="167">
        <v>4</v>
      </c>
      <c r="AA187" s="168"/>
      <c r="AB187" s="167">
        <v>6</v>
      </c>
      <c r="AC187" s="168"/>
      <c r="AD187" s="430" t="s">
        <v>995</v>
      </c>
      <c r="AE187" s="168" t="s">
        <v>2330</v>
      </c>
      <c r="AF187" s="173" t="s">
        <v>834</v>
      </c>
      <c r="AG187" s="171" t="s">
        <v>2331</v>
      </c>
      <c r="AH187" s="167">
        <v>6</v>
      </c>
      <c r="AI187" s="168"/>
      <c r="AJ187" s="373">
        <v>6.5</v>
      </c>
      <c r="AK187" s="431" t="s">
        <v>863</v>
      </c>
      <c r="AL187" s="167">
        <v>6</v>
      </c>
      <c r="AM187" s="168"/>
      <c r="AN187" s="173">
        <v>5</v>
      </c>
      <c r="AO187" s="171" t="s">
        <v>2332</v>
      </c>
      <c r="AP187" s="432" t="s">
        <v>834</v>
      </c>
      <c r="AQ187" s="168"/>
      <c r="AR187" s="173">
        <v>10</v>
      </c>
      <c r="AS187" s="171" t="s">
        <v>546</v>
      </c>
      <c r="AT187" s="173" t="s">
        <v>834</v>
      </c>
      <c r="AU187" s="171"/>
      <c r="AV187" s="381" t="s">
        <v>834</v>
      </c>
      <c r="AW187" s="168"/>
      <c r="AX187" s="443">
        <v>6.875</v>
      </c>
      <c r="AY187" s="427" t="s">
        <v>2333</v>
      </c>
      <c r="AZ187" s="373">
        <v>7</v>
      </c>
      <c r="BA187" s="427" t="s">
        <v>2334</v>
      </c>
      <c r="BB187" s="164">
        <v>4.2249999999999996</v>
      </c>
      <c r="BC187" s="168"/>
      <c r="BD187" s="584"/>
      <c r="BE187" s="427"/>
      <c r="BF187" s="384">
        <v>5.5</v>
      </c>
      <c r="BG187" s="168"/>
      <c r="BH187" s="442">
        <v>9</v>
      </c>
      <c r="BI187" s="168" t="s">
        <v>2311</v>
      </c>
      <c r="BJ187" s="167" t="s">
        <v>546</v>
      </c>
      <c r="BK187" s="167"/>
      <c r="BL187" s="373">
        <v>6.875</v>
      </c>
      <c r="BM187" s="168" t="s">
        <v>2335</v>
      </c>
      <c r="BN187" s="173">
        <v>5.125</v>
      </c>
      <c r="BO187" s="171" t="s">
        <v>2336</v>
      </c>
      <c r="BP187" s="435">
        <v>4</v>
      </c>
      <c r="BQ187" s="436"/>
      <c r="BR187" s="385">
        <v>4.75</v>
      </c>
      <c r="BS187" s="168" t="s">
        <v>546</v>
      </c>
      <c r="BT187" s="167">
        <v>5</v>
      </c>
      <c r="BU187" s="168"/>
      <c r="BV187" s="373" t="s">
        <v>995</v>
      </c>
      <c r="BW187" s="168" t="s">
        <v>2171</v>
      </c>
      <c r="BX187" s="437">
        <v>4.5</v>
      </c>
      <c r="BY187" s="171" t="s">
        <v>2337</v>
      </c>
      <c r="BZ187" s="432" t="s">
        <v>546</v>
      </c>
      <c r="CA187" s="168"/>
      <c r="CB187" s="167" t="s">
        <v>834</v>
      </c>
      <c r="CC187" s="168" t="s">
        <v>2189</v>
      </c>
      <c r="CD187" s="173" t="s">
        <v>995</v>
      </c>
      <c r="CE187" s="171" t="s">
        <v>2338</v>
      </c>
      <c r="CF187" s="167">
        <v>5</v>
      </c>
      <c r="CG187" s="175" t="s">
        <v>2190</v>
      </c>
      <c r="CH187" s="167">
        <v>4.5</v>
      </c>
      <c r="CI187" s="168" t="s">
        <v>2191</v>
      </c>
      <c r="CJ187" s="167">
        <v>7</v>
      </c>
      <c r="CK187" s="168"/>
      <c r="CL187" s="385">
        <v>6.25</v>
      </c>
      <c r="CM187" s="168"/>
      <c r="CN187" s="385">
        <v>4.7</v>
      </c>
      <c r="CO187" s="168"/>
      <c r="CP187" s="167">
        <v>6</v>
      </c>
      <c r="CQ187" s="168"/>
      <c r="CR187" s="373" t="s">
        <v>834</v>
      </c>
      <c r="CS187" s="427"/>
      <c r="CT187" s="455">
        <v>1.5</v>
      </c>
      <c r="CU187" s="168" t="s">
        <v>2314</v>
      </c>
      <c r="CV187" s="432">
        <v>6</v>
      </c>
      <c r="CW187" s="168"/>
      <c r="CX187" s="168">
        <v>5</v>
      </c>
      <c r="CY187" s="168"/>
      <c r="CZ187" s="173">
        <v>4</v>
      </c>
      <c r="DA187" s="171" t="s">
        <v>2192</v>
      </c>
      <c r="DB187" s="371" t="s">
        <v>546</v>
      </c>
      <c r="DC187" s="371">
        <f t="shared" si="18"/>
        <v>36</v>
      </c>
      <c r="DD187" s="371"/>
      <c r="DE187" s="371"/>
      <c r="DF187" s="371"/>
      <c r="DG187" s="371"/>
      <c r="DH187" s="371"/>
      <c r="DI187" s="371"/>
      <c r="DJ187" s="371"/>
      <c r="DK187" s="371"/>
      <c r="DL187" s="371"/>
      <c r="DM187" s="371"/>
      <c r="DN187" s="371"/>
      <c r="DO187" s="371"/>
      <c r="DP187" s="371"/>
      <c r="DQ187" s="371"/>
      <c r="DR187" s="371"/>
    </row>
    <row r="188" spans="1:122" ht="18.75" x14ac:dyDescent="0.3">
      <c r="A188" s="325">
        <v>51212</v>
      </c>
      <c r="B188" s="326">
        <v>142</v>
      </c>
      <c r="C188" s="327" t="s">
        <v>2339</v>
      </c>
      <c r="D188" s="424" t="s">
        <v>834</v>
      </c>
      <c r="E188" s="440"/>
      <c r="F188" s="173" t="s">
        <v>546</v>
      </c>
      <c r="G188" s="173"/>
      <c r="H188" s="373" t="s">
        <v>834</v>
      </c>
      <c r="I188" s="427"/>
      <c r="J188" s="173" t="s">
        <v>834</v>
      </c>
      <c r="K188" s="371"/>
      <c r="L188" s="426" t="s">
        <v>834</v>
      </c>
      <c r="M188" s="427"/>
      <c r="N188" s="173">
        <v>2.9</v>
      </c>
      <c r="O188" s="171"/>
      <c r="P188" s="445" t="s">
        <v>834</v>
      </c>
      <c r="Q188" s="585"/>
      <c r="R188" s="457">
        <v>0.29870000000000002</v>
      </c>
      <c r="S188" s="168" t="s">
        <v>2340</v>
      </c>
      <c r="T188" s="428" t="s">
        <v>834</v>
      </c>
      <c r="U188" s="376"/>
      <c r="V188" s="429">
        <v>6</v>
      </c>
      <c r="W188" s="377"/>
      <c r="X188" s="167" t="s">
        <v>834</v>
      </c>
      <c r="Y188" s="168" t="s">
        <v>2341</v>
      </c>
      <c r="Z188" s="167">
        <v>4</v>
      </c>
      <c r="AA188" s="168" t="s">
        <v>2342</v>
      </c>
      <c r="AB188" s="167" t="s">
        <v>834</v>
      </c>
      <c r="AC188" s="168" t="s">
        <v>2343</v>
      </c>
      <c r="AD188" s="430" t="s">
        <v>834</v>
      </c>
      <c r="AE188" s="168"/>
      <c r="AF188" s="173" t="s">
        <v>834</v>
      </c>
      <c r="AG188" s="171" t="s">
        <v>2344</v>
      </c>
      <c r="AH188" s="167" t="s">
        <v>834</v>
      </c>
      <c r="AI188" s="168"/>
      <c r="AJ188" s="373" t="s">
        <v>834</v>
      </c>
      <c r="AK188" s="431"/>
      <c r="AL188" s="167" t="s">
        <v>834</v>
      </c>
      <c r="AM188" s="168" t="s">
        <v>2345</v>
      </c>
      <c r="AN188" s="173">
        <v>5</v>
      </c>
      <c r="AO188" s="171" t="s">
        <v>2346</v>
      </c>
      <c r="AP188" s="432" t="s">
        <v>834</v>
      </c>
      <c r="AQ188" s="168"/>
      <c r="AR188" s="173" t="s">
        <v>834</v>
      </c>
      <c r="AS188" s="171"/>
      <c r="AT188" s="173" t="s">
        <v>834</v>
      </c>
      <c r="AU188" s="171"/>
      <c r="AV188" s="381" t="s">
        <v>834</v>
      </c>
      <c r="AW188" s="168" t="s">
        <v>2347</v>
      </c>
      <c r="AX188" s="443" t="s">
        <v>834</v>
      </c>
      <c r="AY188" s="427"/>
      <c r="AZ188" s="167">
        <v>7</v>
      </c>
      <c r="BA188" s="427"/>
      <c r="BB188" s="164" t="s">
        <v>834</v>
      </c>
      <c r="BC188" s="168"/>
      <c r="BD188" s="464" t="s">
        <v>834</v>
      </c>
      <c r="BE188" s="427"/>
      <c r="BF188" s="384" t="s">
        <v>834</v>
      </c>
      <c r="BG188" s="168"/>
      <c r="BH188" s="442">
        <v>6.85</v>
      </c>
      <c r="BI188" s="427" t="s">
        <v>1631</v>
      </c>
      <c r="BJ188" s="167" t="s">
        <v>546</v>
      </c>
      <c r="BK188" s="167"/>
      <c r="BL188" s="167" t="s">
        <v>834</v>
      </c>
      <c r="BM188" s="168"/>
      <c r="BN188" s="173" t="s">
        <v>834</v>
      </c>
      <c r="BO188" s="171" t="s">
        <v>2348</v>
      </c>
      <c r="BP188" s="435">
        <v>4</v>
      </c>
      <c r="BQ188" s="436"/>
      <c r="BR188" s="167" t="s">
        <v>834</v>
      </c>
      <c r="BS188" s="168"/>
      <c r="BT188" s="167" t="s">
        <v>834</v>
      </c>
      <c r="BU188" s="168"/>
      <c r="BV188" s="373" t="s">
        <v>834</v>
      </c>
      <c r="BW188" s="168" t="s">
        <v>2171</v>
      </c>
      <c r="BX188" s="437" t="s">
        <v>834</v>
      </c>
      <c r="BY188" s="171" t="s">
        <v>2349</v>
      </c>
      <c r="BZ188" s="432" t="s">
        <v>546</v>
      </c>
      <c r="CA188" s="168"/>
      <c r="CB188" s="167" t="s">
        <v>834</v>
      </c>
      <c r="CC188" s="168"/>
      <c r="CD188" s="173" t="s">
        <v>834</v>
      </c>
      <c r="CE188" s="171"/>
      <c r="CF188" s="167" t="s">
        <v>834</v>
      </c>
      <c r="CG188" s="168"/>
      <c r="CH188" s="167" t="s">
        <v>834</v>
      </c>
      <c r="CI188" s="168"/>
      <c r="CJ188" s="167" t="s">
        <v>834</v>
      </c>
      <c r="CK188" s="168"/>
      <c r="CL188" s="385" t="s">
        <v>834</v>
      </c>
      <c r="CM188" s="559"/>
      <c r="CN188" s="385" t="s">
        <v>834</v>
      </c>
      <c r="CO188" s="168"/>
      <c r="CP188" s="167" t="s">
        <v>834</v>
      </c>
      <c r="CQ188" s="168"/>
      <c r="CR188" s="373" t="s">
        <v>834</v>
      </c>
      <c r="CS188" s="427" t="s">
        <v>2350</v>
      </c>
      <c r="CT188" s="455">
        <v>1.5</v>
      </c>
      <c r="CU188" s="168" t="s">
        <v>2325</v>
      </c>
      <c r="CV188" s="432" t="s">
        <v>834</v>
      </c>
      <c r="CW188" s="168"/>
      <c r="CX188" s="168" t="s">
        <v>834</v>
      </c>
      <c r="CY188" s="168" t="s">
        <v>2351</v>
      </c>
      <c r="CZ188" s="173" t="s">
        <v>834</v>
      </c>
      <c r="DA188" s="171" t="s">
        <v>2352</v>
      </c>
      <c r="DB188" s="168" t="s">
        <v>546</v>
      </c>
      <c r="DC188" s="371">
        <f t="shared" si="18"/>
        <v>9</v>
      </c>
      <c r="DD188" s="371"/>
      <c r="DE188" s="371"/>
      <c r="DF188" s="371"/>
      <c r="DG188" s="371"/>
      <c r="DH188" s="371"/>
      <c r="DI188" s="371"/>
      <c r="DJ188" s="371"/>
      <c r="DK188" s="371"/>
      <c r="DL188" s="371"/>
      <c r="DM188" s="371"/>
      <c r="DN188" s="371"/>
      <c r="DO188" s="371"/>
      <c r="DP188" s="371"/>
      <c r="DQ188" s="371"/>
      <c r="DR188" s="371"/>
    </row>
    <row r="189" spans="1:122" ht="38.25" x14ac:dyDescent="0.3">
      <c r="A189" s="325">
        <v>53223</v>
      </c>
      <c r="B189" s="326">
        <v>143</v>
      </c>
      <c r="C189" s="586" t="s">
        <v>2353</v>
      </c>
      <c r="D189" s="562">
        <v>4</v>
      </c>
      <c r="E189" s="571" t="s">
        <v>2354</v>
      </c>
      <c r="F189" s="173" t="s">
        <v>546</v>
      </c>
      <c r="G189" s="173"/>
      <c r="H189" s="373">
        <v>7.5</v>
      </c>
      <c r="I189" s="427" t="s">
        <v>1622</v>
      </c>
      <c r="J189" s="173">
        <v>5.6</v>
      </c>
      <c r="K189" s="371" t="s">
        <v>1461</v>
      </c>
      <c r="L189" s="426">
        <v>7.25</v>
      </c>
      <c r="M189" s="427" t="s">
        <v>2355</v>
      </c>
      <c r="N189" s="173">
        <v>2.9</v>
      </c>
      <c r="O189" s="171"/>
      <c r="P189" s="445">
        <v>6.35</v>
      </c>
      <c r="Q189" s="427"/>
      <c r="R189" s="457">
        <v>0.29870000000000002</v>
      </c>
      <c r="S189" s="168" t="s">
        <v>2356</v>
      </c>
      <c r="T189" s="428">
        <v>5.75</v>
      </c>
      <c r="U189" s="376"/>
      <c r="V189" s="429">
        <v>6</v>
      </c>
      <c r="W189" s="377"/>
      <c r="X189" s="167">
        <v>4</v>
      </c>
      <c r="Y189" s="168"/>
      <c r="Z189" s="167">
        <v>4</v>
      </c>
      <c r="AA189" s="168" t="s">
        <v>2342</v>
      </c>
      <c r="AB189" s="167">
        <v>6</v>
      </c>
      <c r="AC189" s="168"/>
      <c r="AD189" s="430" t="s">
        <v>995</v>
      </c>
      <c r="AE189" s="168" t="s">
        <v>1625</v>
      </c>
      <c r="AF189" s="173">
        <v>7</v>
      </c>
      <c r="AG189" s="171"/>
      <c r="AH189" s="167">
        <v>6</v>
      </c>
      <c r="AI189" s="168"/>
      <c r="AJ189" s="425">
        <v>6.5</v>
      </c>
      <c r="AK189" s="574" t="s">
        <v>863</v>
      </c>
      <c r="AL189" s="167">
        <v>6</v>
      </c>
      <c r="AM189" s="168" t="s">
        <v>546</v>
      </c>
      <c r="AN189" s="173">
        <v>5</v>
      </c>
      <c r="AO189" s="171"/>
      <c r="AP189" s="475">
        <v>6</v>
      </c>
      <c r="AQ189" s="453" t="s">
        <v>2357</v>
      </c>
      <c r="AR189" s="173">
        <v>6</v>
      </c>
      <c r="AS189" s="171" t="s">
        <v>2358</v>
      </c>
      <c r="AT189" s="173">
        <v>6.25</v>
      </c>
      <c r="AU189" s="171"/>
      <c r="AV189" s="381">
        <v>6</v>
      </c>
      <c r="AW189" s="168" t="s">
        <v>2359</v>
      </c>
      <c r="AX189" s="443">
        <v>6.875</v>
      </c>
      <c r="AY189" s="427"/>
      <c r="AZ189" s="373">
        <v>7</v>
      </c>
      <c r="BA189" s="427"/>
      <c r="BB189" s="164" t="s">
        <v>834</v>
      </c>
      <c r="BC189" s="168" t="s">
        <v>2360</v>
      </c>
      <c r="BD189" s="464" t="s">
        <v>834</v>
      </c>
      <c r="BE189" s="427"/>
      <c r="BF189" s="384">
        <v>5.5</v>
      </c>
      <c r="BG189" s="168"/>
      <c r="BH189" s="442">
        <v>6.85</v>
      </c>
      <c r="BI189" s="427" t="s">
        <v>1631</v>
      </c>
      <c r="BJ189" s="167" t="s">
        <v>546</v>
      </c>
      <c r="BK189" s="167"/>
      <c r="BL189" s="373">
        <v>6.875</v>
      </c>
      <c r="BM189" s="168"/>
      <c r="BN189" s="173">
        <v>5.125</v>
      </c>
      <c r="BO189" s="171"/>
      <c r="BP189" s="435">
        <v>4</v>
      </c>
      <c r="BQ189" s="436"/>
      <c r="BR189" s="445">
        <v>4.75</v>
      </c>
      <c r="BS189" s="168"/>
      <c r="BT189" s="167">
        <v>5</v>
      </c>
      <c r="BU189" s="168"/>
      <c r="BV189" s="441">
        <v>5.75</v>
      </c>
      <c r="BW189" s="168" t="s">
        <v>2171</v>
      </c>
      <c r="BX189" s="437">
        <v>4.5</v>
      </c>
      <c r="BY189" s="171"/>
      <c r="BZ189" s="432"/>
      <c r="CA189" s="168"/>
      <c r="CB189" s="167">
        <v>6</v>
      </c>
      <c r="CC189" s="168"/>
      <c r="CD189" s="173">
        <v>7</v>
      </c>
      <c r="CE189" s="171" t="s">
        <v>2361</v>
      </c>
      <c r="CF189" s="373">
        <v>6</v>
      </c>
      <c r="CG189" s="168"/>
      <c r="CH189" s="373">
        <v>4.5</v>
      </c>
      <c r="CI189" s="174"/>
      <c r="CJ189" s="167">
        <v>7</v>
      </c>
      <c r="CK189" s="168"/>
      <c r="CL189" s="385">
        <v>6.25</v>
      </c>
      <c r="CM189" s="168"/>
      <c r="CN189" s="445">
        <v>4.7</v>
      </c>
      <c r="CO189" s="168"/>
      <c r="CP189" s="167">
        <v>6</v>
      </c>
      <c r="CQ189" s="168"/>
      <c r="CR189" s="373">
        <v>5.3</v>
      </c>
      <c r="CS189" s="427"/>
      <c r="CT189" s="443">
        <v>6.5</v>
      </c>
      <c r="CU189" s="427" t="s">
        <v>985</v>
      </c>
      <c r="CV189" s="432">
        <v>6</v>
      </c>
      <c r="CW189" s="168"/>
      <c r="CX189" s="168">
        <v>5</v>
      </c>
      <c r="CY189" s="168"/>
      <c r="CZ189" s="173">
        <v>4</v>
      </c>
      <c r="DA189" s="171" t="s">
        <v>2362</v>
      </c>
      <c r="DB189" s="371" t="s">
        <v>546</v>
      </c>
      <c r="DC189" s="371">
        <f t="shared" si="18"/>
        <v>45</v>
      </c>
      <c r="DD189" s="371"/>
      <c r="DE189" s="371"/>
      <c r="DF189" s="371"/>
      <c r="DG189" s="371"/>
      <c r="DH189" s="371"/>
      <c r="DI189" s="371"/>
      <c r="DJ189" s="371"/>
      <c r="DK189" s="371"/>
      <c r="DL189" s="371"/>
      <c r="DM189" s="371"/>
      <c r="DN189" s="371"/>
      <c r="DO189" s="371"/>
      <c r="DP189" s="371"/>
      <c r="DQ189" s="371"/>
      <c r="DR189" s="371"/>
    </row>
    <row r="190" spans="1:122" ht="18.75" x14ac:dyDescent="0.3">
      <c r="A190" s="325"/>
      <c r="B190" s="326"/>
      <c r="C190" s="456"/>
      <c r="D190" s="424"/>
      <c r="E190" s="440"/>
      <c r="F190" s="173"/>
      <c r="G190" s="173"/>
      <c r="H190" s="373"/>
      <c r="I190" s="427"/>
      <c r="J190" s="173"/>
      <c r="K190" s="371"/>
      <c r="L190" s="426"/>
      <c r="M190" s="427"/>
      <c r="N190" s="173"/>
      <c r="O190" s="171"/>
      <c r="P190" s="385"/>
      <c r="Q190" s="427"/>
      <c r="R190" s="374"/>
      <c r="S190" s="168"/>
      <c r="T190" s="428"/>
      <c r="U190" s="376"/>
      <c r="V190" s="429"/>
      <c r="W190" s="377"/>
      <c r="X190" s="167"/>
      <c r="Y190" s="168"/>
      <c r="Z190" s="167"/>
      <c r="AA190" s="168"/>
      <c r="AB190" s="167"/>
      <c r="AC190" s="168"/>
      <c r="AD190" s="430" t="s">
        <v>546</v>
      </c>
      <c r="AE190" s="168"/>
      <c r="AF190" s="173"/>
      <c r="AG190" s="171"/>
      <c r="AH190" s="167"/>
      <c r="AI190" s="168"/>
      <c r="AJ190" s="373"/>
      <c r="AK190" s="431"/>
      <c r="AL190" s="167"/>
      <c r="AM190" s="168"/>
      <c r="AN190" s="173"/>
      <c r="AO190" s="171"/>
      <c r="AP190" s="432"/>
      <c r="AQ190" s="168"/>
      <c r="AR190" s="173"/>
      <c r="AS190" s="171"/>
      <c r="AT190" s="173"/>
      <c r="AU190" s="171"/>
      <c r="AV190" s="381"/>
      <c r="AW190" s="168"/>
      <c r="AX190" s="433"/>
      <c r="AY190" s="427"/>
      <c r="AZ190" s="167"/>
      <c r="BA190" s="427"/>
      <c r="BB190" s="164"/>
      <c r="BC190" s="168"/>
      <c r="BD190" s="464"/>
      <c r="BE190" s="427"/>
      <c r="BF190" s="384"/>
      <c r="BG190" s="168"/>
      <c r="BH190" s="432"/>
      <c r="BI190" s="427"/>
      <c r="BJ190" s="167"/>
      <c r="BK190" s="167"/>
      <c r="BL190" s="167"/>
      <c r="BM190" s="168"/>
      <c r="BN190" s="173"/>
      <c r="BO190" s="171"/>
      <c r="BP190" s="435"/>
      <c r="BQ190" s="436"/>
      <c r="BR190" s="167"/>
      <c r="BS190" s="168"/>
      <c r="BT190" s="167"/>
      <c r="BU190" s="168"/>
      <c r="BV190" s="167"/>
      <c r="BW190" s="168"/>
      <c r="BX190" s="437"/>
      <c r="BY190" s="171"/>
      <c r="BZ190" s="432"/>
      <c r="CA190" s="168"/>
      <c r="CB190" s="167"/>
      <c r="CC190" s="168"/>
      <c r="CD190" s="173"/>
      <c r="CE190" s="171"/>
      <c r="CF190" s="167"/>
      <c r="CG190" s="168"/>
      <c r="CH190" s="167"/>
      <c r="CI190" s="168"/>
      <c r="CJ190" s="167"/>
      <c r="CK190" s="168"/>
      <c r="CL190" s="385"/>
      <c r="CM190" s="168"/>
      <c r="CN190" s="445"/>
      <c r="CO190" s="168"/>
      <c r="CP190" s="167"/>
      <c r="CQ190" s="168"/>
      <c r="CR190" s="373"/>
      <c r="CS190" s="427"/>
      <c r="CT190" s="432"/>
      <c r="CU190" s="168"/>
      <c r="CV190" s="432"/>
      <c r="CW190" s="168"/>
      <c r="CX190" s="168"/>
      <c r="CY190" s="168"/>
      <c r="CZ190" s="173"/>
      <c r="DA190" s="171"/>
      <c r="DB190" s="371"/>
      <c r="DC190" s="371"/>
      <c r="DD190" s="371"/>
      <c r="DE190" s="371"/>
      <c r="DF190" s="371"/>
      <c r="DG190" s="371"/>
      <c r="DH190" s="371"/>
      <c r="DI190" s="371"/>
      <c r="DJ190" s="371"/>
      <c r="DK190" s="371"/>
      <c r="DL190" s="371"/>
      <c r="DM190" s="371"/>
      <c r="DN190" s="371"/>
      <c r="DO190" s="371"/>
      <c r="DP190" s="371"/>
      <c r="DQ190" s="371"/>
      <c r="DR190" s="371"/>
    </row>
    <row r="191" spans="1:122" ht="18.75" x14ac:dyDescent="0.3">
      <c r="A191" s="389"/>
      <c r="B191" s="390"/>
      <c r="C191" s="391" t="s">
        <v>2363</v>
      </c>
      <c r="D191" s="392" t="s">
        <v>832</v>
      </c>
      <c r="E191" s="465"/>
      <c r="F191" s="394" t="s">
        <v>832</v>
      </c>
      <c r="G191" s="394"/>
      <c r="H191" s="394" t="s">
        <v>832</v>
      </c>
      <c r="I191" s="401"/>
      <c r="J191" s="438" t="s">
        <v>832</v>
      </c>
      <c r="K191" s="397"/>
      <c r="L191" s="438" t="s">
        <v>832</v>
      </c>
      <c r="M191" s="401"/>
      <c r="N191" s="400" t="s">
        <v>832</v>
      </c>
      <c r="O191" s="172"/>
      <c r="P191" s="400" t="s">
        <v>832</v>
      </c>
      <c r="Q191" s="401"/>
      <c r="R191" s="400" t="s">
        <v>832</v>
      </c>
      <c r="S191" s="170"/>
      <c r="T191" s="400" t="s">
        <v>832</v>
      </c>
      <c r="U191" s="404"/>
      <c r="V191" s="400" t="s">
        <v>832</v>
      </c>
      <c r="W191" s="406"/>
      <c r="X191" s="400" t="s">
        <v>832</v>
      </c>
      <c r="Y191" s="170"/>
      <c r="Z191" s="400" t="s">
        <v>832</v>
      </c>
      <c r="AA191" s="170"/>
      <c r="AB191" s="400" t="s">
        <v>832</v>
      </c>
      <c r="AC191" s="170"/>
      <c r="AD191" s="408" t="s">
        <v>832</v>
      </c>
      <c r="AE191" s="170"/>
      <c r="AF191" s="408" t="s">
        <v>832</v>
      </c>
      <c r="AG191" s="172"/>
      <c r="AH191" s="408" t="s">
        <v>832</v>
      </c>
      <c r="AI191" s="170"/>
      <c r="AJ191" s="408" t="s">
        <v>832</v>
      </c>
      <c r="AK191" s="409"/>
      <c r="AL191" s="407" t="s">
        <v>832</v>
      </c>
      <c r="AM191" s="170"/>
      <c r="AN191" s="491" t="s">
        <v>832</v>
      </c>
      <c r="AO191" s="172"/>
      <c r="AP191" s="408" t="s">
        <v>832</v>
      </c>
      <c r="AQ191" s="170"/>
      <c r="AR191" s="438" t="s">
        <v>832</v>
      </c>
      <c r="AS191" s="172"/>
      <c r="AT191" s="438" t="s">
        <v>832</v>
      </c>
      <c r="AU191" s="172"/>
      <c r="AV191" s="408" t="s">
        <v>832</v>
      </c>
      <c r="AW191" s="170"/>
      <c r="AX191" s="408" t="s">
        <v>832</v>
      </c>
      <c r="AY191" s="401"/>
      <c r="AZ191" s="407" t="s">
        <v>832</v>
      </c>
      <c r="BA191" s="401"/>
      <c r="BB191" s="408" t="s">
        <v>832</v>
      </c>
      <c r="BC191" s="170"/>
      <c r="BD191" s="407" t="s">
        <v>832</v>
      </c>
      <c r="BE191" s="401"/>
      <c r="BF191" s="407" t="s">
        <v>832</v>
      </c>
      <c r="BG191" s="170"/>
      <c r="BH191" s="408" t="s">
        <v>832</v>
      </c>
      <c r="BI191" s="401"/>
      <c r="BJ191" s="407" t="s">
        <v>832</v>
      </c>
      <c r="BK191" s="407"/>
      <c r="BL191" s="408" t="s">
        <v>832</v>
      </c>
      <c r="BM191" s="170"/>
      <c r="BN191" s="491" t="s">
        <v>832</v>
      </c>
      <c r="BO191" s="172"/>
      <c r="BP191" s="408" t="s">
        <v>832</v>
      </c>
      <c r="BQ191" s="419"/>
      <c r="BR191" s="407" t="s">
        <v>832</v>
      </c>
      <c r="BS191" s="170"/>
      <c r="BT191" s="408" t="s">
        <v>832</v>
      </c>
      <c r="BU191" s="170"/>
      <c r="BV191" s="407" t="s">
        <v>832</v>
      </c>
      <c r="BW191" s="170"/>
      <c r="BX191" s="438" t="s">
        <v>832</v>
      </c>
      <c r="BY191" s="172"/>
      <c r="BZ191" s="408" t="s">
        <v>832</v>
      </c>
      <c r="CA191" s="170"/>
      <c r="CB191" s="408" t="s">
        <v>832</v>
      </c>
      <c r="CC191" s="170"/>
      <c r="CD191" s="407" t="s">
        <v>832</v>
      </c>
      <c r="CE191" s="172"/>
      <c r="CF191" s="408" t="s">
        <v>832</v>
      </c>
      <c r="CG191" s="170"/>
      <c r="CH191" s="408" t="s">
        <v>832</v>
      </c>
      <c r="CI191" s="170"/>
      <c r="CJ191" s="408" t="s">
        <v>832</v>
      </c>
      <c r="CK191" s="170"/>
      <c r="CL191" s="407" t="s">
        <v>832</v>
      </c>
      <c r="CM191" s="170"/>
      <c r="CN191" s="407" t="s">
        <v>832</v>
      </c>
      <c r="CO191" s="170"/>
      <c r="CP191" s="408" t="s">
        <v>832</v>
      </c>
      <c r="CQ191" s="170"/>
      <c r="CR191" s="408" t="s">
        <v>832</v>
      </c>
      <c r="CS191" s="401"/>
      <c r="CT191" s="408" t="s">
        <v>832</v>
      </c>
      <c r="CU191" s="170"/>
      <c r="CV191" s="407" t="s">
        <v>832</v>
      </c>
      <c r="CW191" s="170"/>
      <c r="CX191" s="407" t="s">
        <v>832</v>
      </c>
      <c r="CY191" s="170"/>
      <c r="CZ191" s="407" t="s">
        <v>832</v>
      </c>
      <c r="DA191" s="172"/>
      <c r="DB191" s="397"/>
      <c r="DC191" s="397"/>
      <c r="DD191" s="397"/>
      <c r="DE191" s="397"/>
      <c r="DF191" s="397"/>
      <c r="DG191" s="397"/>
      <c r="DH191" s="397"/>
      <c r="DI191" s="397"/>
      <c r="DJ191" s="397"/>
      <c r="DK191" s="397"/>
      <c r="DL191" s="397"/>
      <c r="DM191" s="397"/>
      <c r="DN191" s="397"/>
      <c r="DO191" s="397"/>
      <c r="DP191" s="397"/>
      <c r="DQ191" s="397"/>
      <c r="DR191" s="397"/>
    </row>
    <row r="192" spans="1:122" ht="18.75" x14ac:dyDescent="0.3">
      <c r="A192" s="325">
        <v>5412</v>
      </c>
      <c r="B192" s="326">
        <v>144</v>
      </c>
      <c r="C192" s="327" t="s">
        <v>2364</v>
      </c>
      <c r="D192" s="424" t="s">
        <v>834</v>
      </c>
      <c r="E192" s="328"/>
      <c r="F192" s="173" t="s">
        <v>546</v>
      </c>
      <c r="G192" s="173"/>
      <c r="H192" s="373" t="s">
        <v>834</v>
      </c>
      <c r="I192" s="427"/>
      <c r="J192" s="173" t="s">
        <v>834</v>
      </c>
      <c r="K192" s="371"/>
      <c r="L192" s="426" t="s">
        <v>834</v>
      </c>
      <c r="M192" s="427"/>
      <c r="N192" s="173" t="s">
        <v>834</v>
      </c>
      <c r="O192" s="171"/>
      <c r="P192" s="385" t="s">
        <v>834</v>
      </c>
      <c r="Q192" s="427"/>
      <c r="R192" s="374">
        <v>0.39800000000000002</v>
      </c>
      <c r="S192" s="168" t="s">
        <v>837</v>
      </c>
      <c r="T192" s="428" t="s">
        <v>834</v>
      </c>
      <c r="U192" s="376"/>
      <c r="V192" s="429" t="s">
        <v>834</v>
      </c>
      <c r="W192" s="377" t="s">
        <v>2365</v>
      </c>
      <c r="X192" s="167" t="s">
        <v>834</v>
      </c>
      <c r="Y192" s="168" t="s">
        <v>856</v>
      </c>
      <c r="Z192" s="167">
        <v>4</v>
      </c>
      <c r="AA192" s="168"/>
      <c r="AB192" s="167" t="s">
        <v>834</v>
      </c>
      <c r="AC192" s="168"/>
      <c r="AD192" s="430" t="s">
        <v>834</v>
      </c>
      <c r="AE192" s="168"/>
      <c r="AF192" s="173" t="s">
        <v>834</v>
      </c>
      <c r="AG192" s="171"/>
      <c r="AH192" s="167" t="s">
        <v>834</v>
      </c>
      <c r="AI192" s="168"/>
      <c r="AJ192" s="373" t="s">
        <v>834</v>
      </c>
      <c r="AK192" s="431"/>
      <c r="AL192" s="167" t="s">
        <v>834</v>
      </c>
      <c r="AM192" s="168"/>
      <c r="AN192" s="173" t="s">
        <v>834</v>
      </c>
      <c r="AO192" s="171"/>
      <c r="AP192" s="432" t="s">
        <v>834</v>
      </c>
      <c r="AQ192" s="168"/>
      <c r="AR192" s="173" t="s">
        <v>834</v>
      </c>
      <c r="AS192" s="171"/>
      <c r="AT192" s="173" t="s">
        <v>834</v>
      </c>
      <c r="AU192" s="171"/>
      <c r="AV192" s="381" t="s">
        <v>834</v>
      </c>
      <c r="AW192" s="168"/>
      <c r="AX192" s="433" t="s">
        <v>834</v>
      </c>
      <c r="AY192" s="427"/>
      <c r="AZ192" s="167" t="s">
        <v>834</v>
      </c>
      <c r="BA192" s="427"/>
      <c r="BB192" s="164" t="s">
        <v>834</v>
      </c>
      <c r="BC192" s="168"/>
      <c r="BD192" s="464" t="s">
        <v>546</v>
      </c>
      <c r="BE192" s="427"/>
      <c r="BF192" s="384" t="s">
        <v>834</v>
      </c>
      <c r="BG192" s="168"/>
      <c r="BH192" s="432" t="s">
        <v>834</v>
      </c>
      <c r="BI192" s="427"/>
      <c r="BJ192" s="167"/>
      <c r="BK192" s="167"/>
      <c r="BL192" s="167" t="s">
        <v>834</v>
      </c>
      <c r="BM192" s="168"/>
      <c r="BN192" s="173">
        <v>5.125</v>
      </c>
      <c r="BO192" s="171"/>
      <c r="BP192" s="435" t="s">
        <v>834</v>
      </c>
      <c r="BQ192" s="436"/>
      <c r="BR192" s="167" t="s">
        <v>834</v>
      </c>
      <c r="BS192" s="168"/>
      <c r="BT192" s="167" t="s">
        <v>834</v>
      </c>
      <c r="BU192" s="168"/>
      <c r="BV192" s="167" t="s">
        <v>834</v>
      </c>
      <c r="BW192" s="168"/>
      <c r="BX192" s="437" t="s">
        <v>834</v>
      </c>
      <c r="BY192" s="171"/>
      <c r="BZ192" s="432"/>
      <c r="CA192" s="168"/>
      <c r="CB192" s="167" t="s">
        <v>834</v>
      </c>
      <c r="CC192" s="587"/>
      <c r="CD192" s="173" t="s">
        <v>834</v>
      </c>
      <c r="CE192" s="171"/>
      <c r="CF192" s="167" t="s">
        <v>834</v>
      </c>
      <c r="CG192" s="168" t="s">
        <v>2366</v>
      </c>
      <c r="CH192" s="167">
        <v>4.5</v>
      </c>
      <c r="CI192" s="168"/>
      <c r="CJ192" s="167" t="s">
        <v>834</v>
      </c>
      <c r="CK192" s="168"/>
      <c r="CL192" s="385" t="s">
        <v>834</v>
      </c>
      <c r="CM192" s="168"/>
      <c r="CN192" s="385" t="s">
        <v>834</v>
      </c>
      <c r="CO192" s="168"/>
      <c r="CP192" s="167" t="s">
        <v>834</v>
      </c>
      <c r="CQ192" s="168"/>
      <c r="CR192" s="373" t="s">
        <v>834</v>
      </c>
      <c r="CS192" s="427"/>
      <c r="CT192" s="455">
        <v>1.5</v>
      </c>
      <c r="CU192" s="168" t="s">
        <v>840</v>
      </c>
      <c r="CV192" s="442" t="s">
        <v>834</v>
      </c>
      <c r="CW192" s="168" t="s">
        <v>2367</v>
      </c>
      <c r="CX192" s="168" t="s">
        <v>834</v>
      </c>
      <c r="CY192" s="168"/>
      <c r="CZ192" s="173" t="s">
        <v>834</v>
      </c>
      <c r="DA192" s="171"/>
      <c r="DB192" s="371"/>
      <c r="DC192" s="371">
        <f t="shared" ref="DC192:DC200" si="19">COUNT(D192:CZ192)</f>
        <v>5</v>
      </c>
      <c r="DD192" s="371"/>
      <c r="DE192" s="371"/>
      <c r="DF192" s="371"/>
      <c r="DG192" s="371"/>
      <c r="DH192" s="371"/>
      <c r="DI192" s="371"/>
      <c r="DJ192" s="371"/>
      <c r="DK192" s="371"/>
      <c r="DL192" s="371"/>
      <c r="DM192" s="371"/>
      <c r="DN192" s="371"/>
      <c r="DO192" s="371"/>
      <c r="DP192" s="371"/>
      <c r="DQ192" s="371"/>
      <c r="DR192" s="371"/>
    </row>
    <row r="193" spans="1:122" ht="18.75" x14ac:dyDescent="0.3">
      <c r="A193" s="325">
        <v>54131</v>
      </c>
      <c r="B193" s="326">
        <v>145</v>
      </c>
      <c r="C193" s="327" t="s">
        <v>2368</v>
      </c>
      <c r="D193" s="424" t="s">
        <v>834</v>
      </c>
      <c r="E193" s="328"/>
      <c r="F193" s="173" t="s">
        <v>546</v>
      </c>
      <c r="G193" s="173"/>
      <c r="H193" s="373" t="s">
        <v>834</v>
      </c>
      <c r="I193" s="427"/>
      <c r="J193" s="173" t="s">
        <v>834</v>
      </c>
      <c r="K193" s="371"/>
      <c r="L193" s="426" t="s">
        <v>834</v>
      </c>
      <c r="M193" s="427"/>
      <c r="N193" s="173" t="s">
        <v>834</v>
      </c>
      <c r="O193" s="171"/>
      <c r="P193" s="385" t="s">
        <v>834</v>
      </c>
      <c r="Q193" s="427"/>
      <c r="R193" s="374">
        <v>0.39800000000000002</v>
      </c>
      <c r="S193" s="168" t="s">
        <v>837</v>
      </c>
      <c r="T193" s="428" t="s">
        <v>834</v>
      </c>
      <c r="U193" s="376"/>
      <c r="V193" s="429" t="s">
        <v>834</v>
      </c>
      <c r="W193" s="377" t="s">
        <v>2365</v>
      </c>
      <c r="X193" s="167" t="s">
        <v>834</v>
      </c>
      <c r="Y193" s="168" t="s">
        <v>856</v>
      </c>
      <c r="Z193" s="167">
        <v>4</v>
      </c>
      <c r="AA193" s="168" t="s">
        <v>2369</v>
      </c>
      <c r="AB193" s="167" t="s">
        <v>834</v>
      </c>
      <c r="AC193" s="168"/>
      <c r="AD193" s="430" t="s">
        <v>834</v>
      </c>
      <c r="AE193" s="168"/>
      <c r="AF193" s="173" t="s">
        <v>834</v>
      </c>
      <c r="AG193" s="171"/>
      <c r="AH193" s="167" t="s">
        <v>834</v>
      </c>
      <c r="AI193" s="168"/>
      <c r="AJ193" s="373" t="s">
        <v>834</v>
      </c>
      <c r="AK193" s="431"/>
      <c r="AL193" s="167" t="s">
        <v>834</v>
      </c>
      <c r="AM193" s="483"/>
      <c r="AN193" s="173" t="s">
        <v>834</v>
      </c>
      <c r="AO193" s="171"/>
      <c r="AP193" s="429" t="s">
        <v>834</v>
      </c>
      <c r="AQ193" s="168"/>
      <c r="AR193" s="173" t="s">
        <v>834</v>
      </c>
      <c r="AS193" s="171"/>
      <c r="AT193" s="173" t="s">
        <v>834</v>
      </c>
      <c r="AU193" s="171"/>
      <c r="AV193" s="381" t="s">
        <v>834</v>
      </c>
      <c r="AW193" s="168"/>
      <c r="AX193" s="433" t="s">
        <v>834</v>
      </c>
      <c r="AY193" s="427"/>
      <c r="AZ193" s="429" t="s">
        <v>834</v>
      </c>
      <c r="BA193" s="427"/>
      <c r="BB193" s="164" t="s">
        <v>834</v>
      </c>
      <c r="BC193" s="168"/>
      <c r="BD193" s="464"/>
      <c r="BE193" s="427"/>
      <c r="BF193" s="384" t="s">
        <v>834</v>
      </c>
      <c r="BG193" s="168"/>
      <c r="BH193" s="432" t="s">
        <v>834</v>
      </c>
      <c r="BI193" s="427"/>
      <c r="BJ193" s="167"/>
      <c r="BK193" s="167"/>
      <c r="BL193" s="167" t="s">
        <v>834</v>
      </c>
      <c r="BM193" s="168"/>
      <c r="BN193" s="173">
        <v>5.125</v>
      </c>
      <c r="BO193" s="171"/>
      <c r="BP193" s="435" t="s">
        <v>834</v>
      </c>
      <c r="BQ193" s="436"/>
      <c r="BR193" s="167" t="s">
        <v>834</v>
      </c>
      <c r="BS193" s="168"/>
      <c r="BT193" s="167" t="s">
        <v>834</v>
      </c>
      <c r="BU193" s="168"/>
      <c r="BV193" s="167" t="s">
        <v>834</v>
      </c>
      <c r="BW193" s="168"/>
      <c r="BX193" s="437" t="s">
        <v>834</v>
      </c>
      <c r="BY193" s="171"/>
      <c r="BZ193" s="432"/>
      <c r="CA193" s="168"/>
      <c r="CB193" s="167" t="s">
        <v>834</v>
      </c>
      <c r="CC193" s="168"/>
      <c r="CD193" s="173" t="s">
        <v>834</v>
      </c>
      <c r="CE193" s="171"/>
      <c r="CF193" s="167" t="s">
        <v>834</v>
      </c>
      <c r="CG193" s="168" t="s">
        <v>2370</v>
      </c>
      <c r="CH193" s="167">
        <v>4.5</v>
      </c>
      <c r="CI193" s="168"/>
      <c r="CJ193" s="167" t="s">
        <v>834</v>
      </c>
      <c r="CK193" s="168"/>
      <c r="CL193" s="385" t="s">
        <v>834</v>
      </c>
      <c r="CM193" s="168"/>
      <c r="CN193" s="385" t="s">
        <v>834</v>
      </c>
      <c r="CO193" s="168"/>
      <c r="CP193" s="167" t="s">
        <v>834</v>
      </c>
      <c r="CQ193" s="168"/>
      <c r="CR193" s="373" t="s">
        <v>834</v>
      </c>
      <c r="CS193" s="427"/>
      <c r="CT193" s="455">
        <v>1.5</v>
      </c>
      <c r="CU193" s="168" t="s">
        <v>840</v>
      </c>
      <c r="CV193" s="442"/>
      <c r="CW193" s="168"/>
      <c r="CX193" s="168" t="s">
        <v>834</v>
      </c>
      <c r="CY193" s="168" t="s">
        <v>2371</v>
      </c>
      <c r="CZ193" s="173" t="s">
        <v>834</v>
      </c>
      <c r="DA193" s="171"/>
      <c r="DB193" s="371"/>
      <c r="DC193" s="371">
        <f t="shared" si="19"/>
        <v>5</v>
      </c>
      <c r="DD193" s="371"/>
      <c r="DE193" s="371"/>
      <c r="DF193" s="371"/>
      <c r="DG193" s="371"/>
      <c r="DH193" s="371"/>
      <c r="DI193" s="371"/>
      <c r="DJ193" s="371"/>
      <c r="DK193" s="371"/>
      <c r="DL193" s="371"/>
      <c r="DM193" s="371"/>
      <c r="DN193" s="371"/>
      <c r="DO193" s="371"/>
      <c r="DP193" s="371"/>
      <c r="DQ193" s="371"/>
      <c r="DR193" s="371"/>
    </row>
    <row r="194" spans="1:122" ht="18.75" x14ac:dyDescent="0.3">
      <c r="A194" s="325">
        <v>54111</v>
      </c>
      <c r="B194" s="326">
        <v>146</v>
      </c>
      <c r="C194" s="327" t="s">
        <v>2372</v>
      </c>
      <c r="D194" s="424" t="s">
        <v>834</v>
      </c>
      <c r="E194" s="328"/>
      <c r="F194" s="173" t="s">
        <v>546</v>
      </c>
      <c r="G194" s="173"/>
      <c r="H194" s="373" t="s">
        <v>834</v>
      </c>
      <c r="I194" s="427"/>
      <c r="J194" s="173" t="s">
        <v>834</v>
      </c>
      <c r="K194" s="371"/>
      <c r="L194" s="426" t="s">
        <v>834</v>
      </c>
      <c r="M194" s="427"/>
      <c r="N194" s="173" t="s">
        <v>834</v>
      </c>
      <c r="O194" s="171"/>
      <c r="P194" s="385" t="s">
        <v>834</v>
      </c>
      <c r="Q194" s="427"/>
      <c r="R194" s="374">
        <v>0.39800000000000002</v>
      </c>
      <c r="S194" s="168" t="s">
        <v>837</v>
      </c>
      <c r="T194" s="428" t="s">
        <v>834</v>
      </c>
      <c r="U194" s="376"/>
      <c r="V194" s="429" t="s">
        <v>834</v>
      </c>
      <c r="W194" s="377" t="s">
        <v>2365</v>
      </c>
      <c r="X194" s="167" t="s">
        <v>834</v>
      </c>
      <c r="Y194" s="168" t="s">
        <v>856</v>
      </c>
      <c r="Z194" s="167">
        <v>4</v>
      </c>
      <c r="AA194" s="168"/>
      <c r="AB194" s="167" t="s">
        <v>834</v>
      </c>
      <c r="AC194" s="168"/>
      <c r="AD194" s="430" t="s">
        <v>834</v>
      </c>
      <c r="AE194" s="168"/>
      <c r="AF194" s="173" t="s">
        <v>834</v>
      </c>
      <c r="AG194" s="171"/>
      <c r="AH194" s="167" t="s">
        <v>834</v>
      </c>
      <c r="AI194" s="168"/>
      <c r="AJ194" s="373" t="s">
        <v>834</v>
      </c>
      <c r="AK194" s="431"/>
      <c r="AL194" s="167" t="s">
        <v>834</v>
      </c>
      <c r="AM194" s="168"/>
      <c r="AN194" s="173" t="s">
        <v>834</v>
      </c>
      <c r="AO194" s="171"/>
      <c r="AP194" s="432" t="s">
        <v>834</v>
      </c>
      <c r="AQ194" s="168"/>
      <c r="AR194" s="173" t="s">
        <v>834</v>
      </c>
      <c r="AS194" s="171"/>
      <c r="AT194" s="173" t="s">
        <v>834</v>
      </c>
      <c r="AU194" s="171"/>
      <c r="AV194" s="381" t="s">
        <v>834</v>
      </c>
      <c r="AW194" s="168"/>
      <c r="AX194" s="433" t="s">
        <v>834</v>
      </c>
      <c r="AY194" s="427"/>
      <c r="AZ194" s="167" t="s">
        <v>834</v>
      </c>
      <c r="BA194" s="427"/>
      <c r="BB194" s="164" t="s">
        <v>834</v>
      </c>
      <c r="BC194" s="168"/>
      <c r="BD194" s="464" t="s">
        <v>546</v>
      </c>
      <c r="BE194" s="427"/>
      <c r="BF194" s="384" t="s">
        <v>834</v>
      </c>
      <c r="BG194" s="168"/>
      <c r="BH194" s="432" t="s">
        <v>834</v>
      </c>
      <c r="BI194" s="427"/>
      <c r="BJ194" s="167"/>
      <c r="BK194" s="167"/>
      <c r="BL194" s="167" t="s">
        <v>834</v>
      </c>
      <c r="BM194" s="168"/>
      <c r="BN194" s="173">
        <v>5.125</v>
      </c>
      <c r="BO194" s="171"/>
      <c r="BP194" s="435" t="s">
        <v>834</v>
      </c>
      <c r="BQ194" s="436"/>
      <c r="BR194" s="167" t="s">
        <v>834</v>
      </c>
      <c r="BS194" s="168"/>
      <c r="BT194" s="167" t="s">
        <v>834</v>
      </c>
      <c r="BU194" s="168"/>
      <c r="BV194" s="167" t="s">
        <v>834</v>
      </c>
      <c r="BW194" s="168"/>
      <c r="BX194" s="437" t="s">
        <v>834</v>
      </c>
      <c r="BY194" s="171"/>
      <c r="BZ194" s="432"/>
      <c r="CA194" s="168"/>
      <c r="CB194" s="167" t="s">
        <v>834</v>
      </c>
      <c r="CC194" s="168"/>
      <c r="CD194" s="173" t="s">
        <v>834</v>
      </c>
      <c r="CE194" s="171"/>
      <c r="CF194" s="167" t="s">
        <v>834</v>
      </c>
      <c r="CG194" s="168" t="s">
        <v>2373</v>
      </c>
      <c r="CH194" s="167">
        <v>4.5</v>
      </c>
      <c r="CI194" s="168"/>
      <c r="CJ194" s="167" t="s">
        <v>834</v>
      </c>
      <c r="CK194" s="168"/>
      <c r="CL194" s="385" t="s">
        <v>834</v>
      </c>
      <c r="CM194" s="168"/>
      <c r="CN194" s="385" t="s">
        <v>834</v>
      </c>
      <c r="CO194" s="168"/>
      <c r="CP194" s="167" t="s">
        <v>834</v>
      </c>
      <c r="CQ194" s="168"/>
      <c r="CR194" s="373" t="s">
        <v>834</v>
      </c>
      <c r="CS194" s="427"/>
      <c r="CT194" s="455">
        <v>1.5</v>
      </c>
      <c r="CU194" s="168" t="s">
        <v>840</v>
      </c>
      <c r="CV194" s="442" t="s">
        <v>834</v>
      </c>
      <c r="CW194" s="168" t="s">
        <v>2374</v>
      </c>
      <c r="CX194" s="168" t="s">
        <v>834</v>
      </c>
      <c r="CY194" s="168"/>
      <c r="CZ194" s="173" t="s">
        <v>834</v>
      </c>
      <c r="DA194" s="171"/>
      <c r="DB194" s="371"/>
      <c r="DC194" s="371">
        <f t="shared" si="19"/>
        <v>5</v>
      </c>
      <c r="DD194" s="371"/>
      <c r="DE194" s="371"/>
      <c r="DF194" s="371"/>
      <c r="DG194" s="371"/>
      <c r="DH194" s="371"/>
      <c r="DI194" s="371"/>
      <c r="DJ194" s="371"/>
      <c r="DK194" s="371"/>
      <c r="DL194" s="371"/>
      <c r="DM194" s="371"/>
      <c r="DN194" s="371"/>
      <c r="DO194" s="371"/>
      <c r="DP194" s="371"/>
      <c r="DQ194" s="371"/>
      <c r="DR194" s="371"/>
    </row>
    <row r="195" spans="1:122" ht="18.75" x14ac:dyDescent="0.3">
      <c r="A195" s="325">
        <v>6212</v>
      </c>
      <c r="B195" s="326">
        <v>147</v>
      </c>
      <c r="C195" s="327" t="s">
        <v>2375</v>
      </c>
      <c r="D195" s="424" t="s">
        <v>834</v>
      </c>
      <c r="E195" s="328"/>
      <c r="F195" s="173" t="s">
        <v>546</v>
      </c>
      <c r="G195" s="173"/>
      <c r="H195" s="373" t="s">
        <v>834</v>
      </c>
      <c r="I195" s="427"/>
      <c r="J195" s="173" t="s">
        <v>834</v>
      </c>
      <c r="K195" s="371"/>
      <c r="L195" s="426" t="s">
        <v>834</v>
      </c>
      <c r="M195" s="427"/>
      <c r="N195" s="173" t="s">
        <v>834</v>
      </c>
      <c r="O195" s="171"/>
      <c r="P195" s="385" t="s">
        <v>834</v>
      </c>
      <c r="Q195" s="427"/>
      <c r="R195" s="374">
        <v>0.39800000000000002</v>
      </c>
      <c r="S195" s="168" t="s">
        <v>837</v>
      </c>
      <c r="T195" s="428" t="s">
        <v>834</v>
      </c>
      <c r="U195" s="376"/>
      <c r="V195" s="429" t="s">
        <v>834</v>
      </c>
      <c r="W195" s="377" t="s">
        <v>2365</v>
      </c>
      <c r="X195" s="167" t="s">
        <v>834</v>
      </c>
      <c r="Y195" s="168" t="s">
        <v>856</v>
      </c>
      <c r="Z195" s="167">
        <v>4</v>
      </c>
      <c r="AA195" s="168"/>
      <c r="AB195" s="167" t="s">
        <v>834</v>
      </c>
      <c r="AC195" s="168"/>
      <c r="AD195" s="430" t="s">
        <v>834</v>
      </c>
      <c r="AE195" s="168"/>
      <c r="AF195" s="173" t="s">
        <v>834</v>
      </c>
      <c r="AG195" s="171"/>
      <c r="AH195" s="167" t="s">
        <v>834</v>
      </c>
      <c r="AI195" s="168"/>
      <c r="AJ195" s="373" t="s">
        <v>834</v>
      </c>
      <c r="AK195" s="431"/>
      <c r="AL195" s="167" t="s">
        <v>834</v>
      </c>
      <c r="AM195" s="168"/>
      <c r="AN195" s="173" t="s">
        <v>834</v>
      </c>
      <c r="AO195" s="171"/>
      <c r="AP195" s="432" t="s">
        <v>834</v>
      </c>
      <c r="AQ195" s="168"/>
      <c r="AR195" s="173" t="s">
        <v>834</v>
      </c>
      <c r="AS195" s="171"/>
      <c r="AT195" s="173" t="s">
        <v>834</v>
      </c>
      <c r="AU195" s="171"/>
      <c r="AV195" s="381" t="s">
        <v>834</v>
      </c>
      <c r="AW195" s="168"/>
      <c r="AX195" s="433" t="s">
        <v>834</v>
      </c>
      <c r="AY195" s="427"/>
      <c r="AZ195" s="167" t="s">
        <v>834</v>
      </c>
      <c r="BA195" s="427"/>
      <c r="BB195" s="164" t="s">
        <v>834</v>
      </c>
      <c r="BC195" s="168"/>
      <c r="BD195" s="464" t="s">
        <v>546</v>
      </c>
      <c r="BE195" s="427"/>
      <c r="BF195" s="384" t="s">
        <v>834</v>
      </c>
      <c r="BG195" s="168"/>
      <c r="BH195" s="432" t="s">
        <v>834</v>
      </c>
      <c r="BI195" s="427"/>
      <c r="BJ195" s="167"/>
      <c r="BK195" s="167"/>
      <c r="BL195" s="167" t="s">
        <v>834</v>
      </c>
      <c r="BM195" s="168"/>
      <c r="BN195" s="173">
        <v>5.125</v>
      </c>
      <c r="BO195" s="171" t="s">
        <v>2376</v>
      </c>
      <c r="BP195" s="435" t="s">
        <v>834</v>
      </c>
      <c r="BQ195" s="436"/>
      <c r="BR195" s="167" t="s">
        <v>834</v>
      </c>
      <c r="BS195" s="168"/>
      <c r="BT195" s="167" t="s">
        <v>834</v>
      </c>
      <c r="BU195" s="168"/>
      <c r="BV195" s="167" t="s">
        <v>834</v>
      </c>
      <c r="BW195" s="168"/>
      <c r="BX195" s="437" t="s">
        <v>834</v>
      </c>
      <c r="BY195" s="171"/>
      <c r="BZ195" s="432"/>
      <c r="CA195" s="168"/>
      <c r="CB195" s="167" t="s">
        <v>834</v>
      </c>
      <c r="CC195" s="168"/>
      <c r="CD195" s="173" t="s">
        <v>834</v>
      </c>
      <c r="CE195" s="171"/>
      <c r="CF195" s="167" t="s">
        <v>834</v>
      </c>
      <c r="CG195" s="168" t="s">
        <v>2377</v>
      </c>
      <c r="CH195" s="167" t="s">
        <v>834</v>
      </c>
      <c r="CI195" s="168"/>
      <c r="CJ195" s="167" t="s">
        <v>834</v>
      </c>
      <c r="CK195" s="168"/>
      <c r="CL195" s="385" t="s">
        <v>834</v>
      </c>
      <c r="CM195" s="168"/>
      <c r="CN195" s="385" t="s">
        <v>834</v>
      </c>
      <c r="CO195" s="168"/>
      <c r="CP195" s="167" t="s">
        <v>834</v>
      </c>
      <c r="CQ195" s="168"/>
      <c r="CR195" s="373" t="s">
        <v>834</v>
      </c>
      <c r="CS195" s="427"/>
      <c r="CT195" s="432">
        <v>1.5</v>
      </c>
      <c r="CU195" s="168" t="s">
        <v>840</v>
      </c>
      <c r="CV195" s="442" t="s">
        <v>834</v>
      </c>
      <c r="CW195" s="168" t="s">
        <v>2374</v>
      </c>
      <c r="CX195" s="168" t="s">
        <v>834</v>
      </c>
      <c r="CY195" s="168"/>
      <c r="CZ195" s="173" t="s">
        <v>834</v>
      </c>
      <c r="DA195" s="171"/>
      <c r="DB195" s="371"/>
      <c r="DC195" s="371">
        <f t="shared" si="19"/>
        <v>4</v>
      </c>
      <c r="DD195" s="371"/>
      <c r="DE195" s="371"/>
      <c r="DF195" s="371"/>
      <c r="DG195" s="371"/>
      <c r="DH195" s="371"/>
      <c r="DI195" s="371"/>
      <c r="DJ195" s="371"/>
      <c r="DK195" s="371"/>
      <c r="DL195" s="371"/>
      <c r="DM195" s="371"/>
      <c r="DN195" s="371"/>
      <c r="DO195" s="371"/>
      <c r="DP195" s="371"/>
      <c r="DQ195" s="371"/>
      <c r="DR195" s="371"/>
    </row>
    <row r="196" spans="1:122" ht="18.75" x14ac:dyDescent="0.3">
      <c r="A196" s="325">
        <v>54133</v>
      </c>
      <c r="B196" s="326">
        <v>148</v>
      </c>
      <c r="C196" s="327" t="s">
        <v>2378</v>
      </c>
      <c r="D196" s="424" t="s">
        <v>834</v>
      </c>
      <c r="E196" s="328"/>
      <c r="F196" s="173"/>
      <c r="G196" s="173"/>
      <c r="H196" s="373" t="s">
        <v>834</v>
      </c>
      <c r="I196" s="427"/>
      <c r="J196" s="173" t="s">
        <v>834</v>
      </c>
      <c r="K196" s="371"/>
      <c r="L196" s="426" t="s">
        <v>834</v>
      </c>
      <c r="M196" s="427"/>
      <c r="N196" s="173" t="s">
        <v>834</v>
      </c>
      <c r="O196" s="171"/>
      <c r="P196" s="385" t="s">
        <v>834</v>
      </c>
      <c r="Q196" s="427"/>
      <c r="R196" s="374">
        <v>0.39800000000000002</v>
      </c>
      <c r="S196" s="168" t="s">
        <v>837</v>
      </c>
      <c r="T196" s="428" t="s">
        <v>834</v>
      </c>
      <c r="U196" s="376"/>
      <c r="V196" s="429" t="s">
        <v>834</v>
      </c>
      <c r="W196" s="377" t="s">
        <v>2365</v>
      </c>
      <c r="X196" s="167" t="s">
        <v>834</v>
      </c>
      <c r="Y196" s="168" t="s">
        <v>856</v>
      </c>
      <c r="Z196" s="373">
        <v>4</v>
      </c>
      <c r="AA196" s="168" t="s">
        <v>2379</v>
      </c>
      <c r="AB196" s="167" t="s">
        <v>834</v>
      </c>
      <c r="AC196" s="168"/>
      <c r="AD196" s="430" t="s">
        <v>834</v>
      </c>
      <c r="AE196" s="168"/>
      <c r="AF196" s="173" t="s">
        <v>834</v>
      </c>
      <c r="AG196" s="171"/>
      <c r="AH196" s="167" t="s">
        <v>834</v>
      </c>
      <c r="AI196" s="168"/>
      <c r="AJ196" s="373" t="s">
        <v>834</v>
      </c>
      <c r="AK196" s="431"/>
      <c r="AL196" s="167" t="s">
        <v>834</v>
      </c>
      <c r="AM196" s="168"/>
      <c r="AN196" s="173" t="s">
        <v>834</v>
      </c>
      <c r="AO196" s="171"/>
      <c r="AP196" s="432" t="s">
        <v>834</v>
      </c>
      <c r="AQ196" s="168"/>
      <c r="AR196" s="173" t="s">
        <v>834</v>
      </c>
      <c r="AS196" s="171"/>
      <c r="AT196" s="173" t="s">
        <v>834</v>
      </c>
      <c r="AU196" s="171"/>
      <c r="AV196" s="381" t="s">
        <v>834</v>
      </c>
      <c r="AW196" s="168"/>
      <c r="AX196" s="433" t="s">
        <v>834</v>
      </c>
      <c r="AY196" s="427"/>
      <c r="AZ196" s="167" t="s">
        <v>834</v>
      </c>
      <c r="BA196" s="427"/>
      <c r="BB196" s="164" t="s">
        <v>834</v>
      </c>
      <c r="BC196" s="168"/>
      <c r="BD196" s="464" t="s">
        <v>546</v>
      </c>
      <c r="BE196" s="427"/>
      <c r="BF196" s="384" t="s">
        <v>834</v>
      </c>
      <c r="BG196" s="168"/>
      <c r="BH196" s="432" t="s">
        <v>834</v>
      </c>
      <c r="BI196" s="427"/>
      <c r="BJ196" s="167"/>
      <c r="BK196" s="167"/>
      <c r="BL196" s="167" t="s">
        <v>834</v>
      </c>
      <c r="BM196" s="168"/>
      <c r="BN196" s="173">
        <v>5.125</v>
      </c>
      <c r="BO196" s="171"/>
      <c r="BP196" s="435" t="s">
        <v>834</v>
      </c>
      <c r="BQ196" s="436"/>
      <c r="BR196" s="167" t="s">
        <v>834</v>
      </c>
      <c r="BS196" s="168"/>
      <c r="BT196" s="167" t="s">
        <v>834</v>
      </c>
      <c r="BU196" s="168"/>
      <c r="BV196" s="167" t="s">
        <v>834</v>
      </c>
      <c r="BW196" s="168"/>
      <c r="BX196" s="437" t="s">
        <v>834</v>
      </c>
      <c r="BY196" s="171"/>
      <c r="BZ196" s="432"/>
      <c r="CA196" s="168"/>
      <c r="CB196" s="167" t="s">
        <v>834</v>
      </c>
      <c r="CC196" s="168"/>
      <c r="CD196" s="173" t="s">
        <v>834</v>
      </c>
      <c r="CE196" s="171"/>
      <c r="CF196" s="167" t="s">
        <v>834</v>
      </c>
      <c r="CG196" s="168" t="s">
        <v>2380</v>
      </c>
      <c r="CH196" s="167">
        <v>4.5</v>
      </c>
      <c r="CI196" s="168"/>
      <c r="CJ196" s="167" t="s">
        <v>834</v>
      </c>
      <c r="CK196" s="168"/>
      <c r="CL196" s="385" t="s">
        <v>834</v>
      </c>
      <c r="CM196" s="168"/>
      <c r="CN196" s="385" t="s">
        <v>834</v>
      </c>
      <c r="CO196" s="168"/>
      <c r="CP196" s="167" t="s">
        <v>834</v>
      </c>
      <c r="CQ196" s="168"/>
      <c r="CR196" s="373" t="s">
        <v>834</v>
      </c>
      <c r="CS196" s="427"/>
      <c r="CT196" s="455">
        <v>1.5</v>
      </c>
      <c r="CU196" s="168" t="s">
        <v>840</v>
      </c>
      <c r="CV196" s="442" t="s">
        <v>834</v>
      </c>
      <c r="CW196" s="168" t="s">
        <v>2374</v>
      </c>
      <c r="CX196" s="168" t="s">
        <v>834</v>
      </c>
      <c r="CY196" s="168"/>
      <c r="CZ196" s="173" t="s">
        <v>834</v>
      </c>
      <c r="DA196" s="171"/>
      <c r="DB196" s="371"/>
      <c r="DC196" s="371">
        <f t="shared" si="19"/>
        <v>5</v>
      </c>
      <c r="DD196" s="371"/>
      <c r="DE196" s="371"/>
      <c r="DF196" s="371"/>
      <c r="DG196" s="371"/>
      <c r="DH196" s="371"/>
      <c r="DI196" s="371"/>
      <c r="DJ196" s="371"/>
      <c r="DK196" s="371"/>
      <c r="DL196" s="371"/>
      <c r="DM196" s="371"/>
      <c r="DN196" s="371"/>
      <c r="DO196" s="371"/>
      <c r="DP196" s="371"/>
      <c r="DQ196" s="371"/>
      <c r="DR196" s="371"/>
    </row>
    <row r="197" spans="1:122" ht="18.75" x14ac:dyDescent="0.3">
      <c r="A197" s="325">
        <v>54137</v>
      </c>
      <c r="B197" s="326">
        <v>149</v>
      </c>
      <c r="C197" s="327" t="s">
        <v>2381</v>
      </c>
      <c r="D197" s="424" t="s">
        <v>834</v>
      </c>
      <c r="E197" s="328"/>
      <c r="F197" s="173"/>
      <c r="G197" s="173"/>
      <c r="H197" s="373" t="s">
        <v>834</v>
      </c>
      <c r="I197" s="427"/>
      <c r="J197" s="173" t="s">
        <v>834</v>
      </c>
      <c r="K197" s="371"/>
      <c r="L197" s="426" t="s">
        <v>834</v>
      </c>
      <c r="M197" s="427"/>
      <c r="N197" s="173" t="s">
        <v>834</v>
      </c>
      <c r="O197" s="171"/>
      <c r="P197" s="385" t="s">
        <v>834</v>
      </c>
      <c r="Q197" s="427"/>
      <c r="R197" s="374">
        <v>0.39800000000000002</v>
      </c>
      <c r="S197" s="168" t="s">
        <v>837</v>
      </c>
      <c r="T197" s="428" t="s">
        <v>834</v>
      </c>
      <c r="U197" s="376"/>
      <c r="V197" s="429" t="s">
        <v>834</v>
      </c>
      <c r="W197" s="377" t="s">
        <v>2365</v>
      </c>
      <c r="X197" s="167" t="s">
        <v>834</v>
      </c>
      <c r="Y197" s="168" t="s">
        <v>856</v>
      </c>
      <c r="Z197" s="373">
        <v>4</v>
      </c>
      <c r="AA197" s="168" t="s">
        <v>2379</v>
      </c>
      <c r="AB197" s="167" t="s">
        <v>834</v>
      </c>
      <c r="AC197" s="168"/>
      <c r="AD197" s="430" t="s">
        <v>834</v>
      </c>
      <c r="AE197" s="168"/>
      <c r="AF197" s="173" t="s">
        <v>834</v>
      </c>
      <c r="AG197" s="171"/>
      <c r="AH197" s="167" t="s">
        <v>834</v>
      </c>
      <c r="AI197" s="168"/>
      <c r="AJ197" s="373" t="s">
        <v>834</v>
      </c>
      <c r="AK197" s="431"/>
      <c r="AL197" s="167" t="s">
        <v>834</v>
      </c>
      <c r="AM197" s="168"/>
      <c r="AN197" s="173" t="s">
        <v>834</v>
      </c>
      <c r="AO197" s="171"/>
      <c r="AP197" s="432" t="s">
        <v>834</v>
      </c>
      <c r="AQ197" s="168"/>
      <c r="AR197" s="173" t="s">
        <v>834</v>
      </c>
      <c r="AS197" s="171"/>
      <c r="AT197" s="173" t="s">
        <v>834</v>
      </c>
      <c r="AU197" s="171"/>
      <c r="AV197" s="381" t="s">
        <v>834</v>
      </c>
      <c r="AW197" s="168"/>
      <c r="AX197" s="433" t="s">
        <v>834</v>
      </c>
      <c r="AY197" s="427"/>
      <c r="AZ197" s="167" t="s">
        <v>834</v>
      </c>
      <c r="BA197" s="427"/>
      <c r="BB197" s="164" t="s">
        <v>834</v>
      </c>
      <c r="BC197" s="168"/>
      <c r="BD197" s="464" t="s">
        <v>546</v>
      </c>
      <c r="BE197" s="427"/>
      <c r="BF197" s="384" t="s">
        <v>834</v>
      </c>
      <c r="BG197" s="168"/>
      <c r="BH197" s="432" t="s">
        <v>834</v>
      </c>
      <c r="BI197" s="427"/>
      <c r="BJ197" s="167"/>
      <c r="BK197" s="167"/>
      <c r="BL197" s="167" t="s">
        <v>834</v>
      </c>
      <c r="BM197" s="168"/>
      <c r="BN197" s="173">
        <v>5.125</v>
      </c>
      <c r="BO197" s="171"/>
      <c r="BP197" s="435" t="s">
        <v>834</v>
      </c>
      <c r="BQ197" s="436"/>
      <c r="BR197" s="167" t="s">
        <v>834</v>
      </c>
      <c r="BS197" s="168"/>
      <c r="BT197" s="167" t="s">
        <v>834</v>
      </c>
      <c r="BU197" s="168"/>
      <c r="BV197" s="167" t="s">
        <v>834</v>
      </c>
      <c r="BW197" s="168"/>
      <c r="BX197" s="437" t="s">
        <v>834</v>
      </c>
      <c r="BY197" s="171"/>
      <c r="BZ197" s="432"/>
      <c r="CA197" s="168"/>
      <c r="CB197" s="167" t="s">
        <v>834</v>
      </c>
      <c r="CC197" s="168"/>
      <c r="CD197" s="173" t="s">
        <v>834</v>
      </c>
      <c r="CE197" s="171"/>
      <c r="CF197" s="167" t="s">
        <v>834</v>
      </c>
      <c r="CG197" s="168" t="s">
        <v>2382</v>
      </c>
      <c r="CH197" s="167">
        <v>4.5</v>
      </c>
      <c r="CI197" s="168"/>
      <c r="CJ197" s="167" t="s">
        <v>834</v>
      </c>
      <c r="CK197" s="168"/>
      <c r="CL197" s="385">
        <v>6.25</v>
      </c>
      <c r="CM197" s="168"/>
      <c r="CN197" s="385" t="s">
        <v>834</v>
      </c>
      <c r="CO197" s="168"/>
      <c r="CP197" s="167" t="s">
        <v>834</v>
      </c>
      <c r="CQ197" s="168"/>
      <c r="CR197" s="373" t="s">
        <v>834</v>
      </c>
      <c r="CS197" s="427"/>
      <c r="CT197" s="455">
        <v>1.5</v>
      </c>
      <c r="CU197" s="168" t="s">
        <v>840</v>
      </c>
      <c r="CV197" s="442">
        <v>6</v>
      </c>
      <c r="CW197" s="168" t="s">
        <v>2383</v>
      </c>
      <c r="CX197" s="168" t="s">
        <v>834</v>
      </c>
      <c r="CY197" s="168"/>
      <c r="CZ197" s="173" t="s">
        <v>834</v>
      </c>
      <c r="DA197" s="171"/>
      <c r="DB197" s="371"/>
      <c r="DC197" s="371">
        <f t="shared" si="19"/>
        <v>7</v>
      </c>
      <c r="DD197" s="371"/>
      <c r="DE197" s="371"/>
      <c r="DF197" s="371"/>
      <c r="DG197" s="371"/>
      <c r="DH197" s="371"/>
      <c r="DI197" s="371"/>
      <c r="DJ197" s="371"/>
      <c r="DK197" s="371"/>
      <c r="DL197" s="371"/>
      <c r="DM197" s="371"/>
      <c r="DN197" s="371"/>
      <c r="DO197" s="371"/>
      <c r="DP197" s="371"/>
      <c r="DQ197" s="371"/>
      <c r="DR197" s="371"/>
    </row>
    <row r="198" spans="1:122" ht="18.75" x14ac:dyDescent="0.3">
      <c r="A198" s="325">
        <v>6215</v>
      </c>
      <c r="B198" s="326">
        <v>150</v>
      </c>
      <c r="C198" s="327" t="s">
        <v>2384</v>
      </c>
      <c r="D198" s="424" t="s">
        <v>834</v>
      </c>
      <c r="E198" s="328"/>
      <c r="F198" s="173"/>
      <c r="G198" s="173"/>
      <c r="H198" s="373" t="s">
        <v>834</v>
      </c>
      <c r="I198" s="427"/>
      <c r="J198" s="173" t="s">
        <v>834</v>
      </c>
      <c r="K198" s="371"/>
      <c r="L198" s="426" t="s">
        <v>834</v>
      </c>
      <c r="M198" s="427"/>
      <c r="N198" s="173" t="s">
        <v>834</v>
      </c>
      <c r="O198" s="171"/>
      <c r="P198" s="385" t="s">
        <v>834</v>
      </c>
      <c r="Q198" s="427"/>
      <c r="R198" s="374">
        <v>0.39800000000000002</v>
      </c>
      <c r="S198" s="168" t="s">
        <v>837</v>
      </c>
      <c r="T198" s="428" t="s">
        <v>834</v>
      </c>
      <c r="U198" s="376"/>
      <c r="V198" s="429" t="s">
        <v>834</v>
      </c>
      <c r="W198" s="377" t="s">
        <v>2365</v>
      </c>
      <c r="X198" s="167" t="s">
        <v>834</v>
      </c>
      <c r="Y198" s="168" t="s">
        <v>856</v>
      </c>
      <c r="Z198" s="167">
        <v>4</v>
      </c>
      <c r="AA198" s="168"/>
      <c r="AB198" s="167" t="s">
        <v>834</v>
      </c>
      <c r="AC198" s="168"/>
      <c r="AD198" s="430" t="s">
        <v>834</v>
      </c>
      <c r="AE198" s="168"/>
      <c r="AF198" s="173" t="s">
        <v>834</v>
      </c>
      <c r="AG198" s="171"/>
      <c r="AH198" s="167" t="s">
        <v>834</v>
      </c>
      <c r="AI198" s="168" t="s">
        <v>2385</v>
      </c>
      <c r="AJ198" s="373" t="s">
        <v>834</v>
      </c>
      <c r="AK198" s="431"/>
      <c r="AL198" s="167" t="s">
        <v>834</v>
      </c>
      <c r="AM198" s="168"/>
      <c r="AN198" s="173" t="s">
        <v>834</v>
      </c>
      <c r="AO198" s="171"/>
      <c r="AP198" s="432" t="s">
        <v>834</v>
      </c>
      <c r="AQ198" s="168"/>
      <c r="AR198" s="173" t="s">
        <v>834</v>
      </c>
      <c r="AS198" s="171"/>
      <c r="AT198" s="173" t="s">
        <v>834</v>
      </c>
      <c r="AU198" s="171"/>
      <c r="AV198" s="381" t="s">
        <v>834</v>
      </c>
      <c r="AW198" s="167"/>
      <c r="AX198" s="433" t="s">
        <v>834</v>
      </c>
      <c r="AY198" s="427"/>
      <c r="AZ198" s="167" t="s">
        <v>834</v>
      </c>
      <c r="BA198" s="427"/>
      <c r="BB198" s="164" t="s">
        <v>834</v>
      </c>
      <c r="BC198" s="167"/>
      <c r="BD198" s="464" t="s">
        <v>546</v>
      </c>
      <c r="BE198" s="427"/>
      <c r="BF198" s="384" t="s">
        <v>834</v>
      </c>
      <c r="BG198" s="168"/>
      <c r="BH198" s="432" t="s">
        <v>834</v>
      </c>
      <c r="BI198" s="373"/>
      <c r="BJ198" s="167"/>
      <c r="BK198" s="167"/>
      <c r="BL198" s="167" t="s">
        <v>834</v>
      </c>
      <c r="BM198" s="167"/>
      <c r="BN198" s="173">
        <v>5.125</v>
      </c>
      <c r="BO198" s="171" t="s">
        <v>2376</v>
      </c>
      <c r="BP198" s="435" t="s">
        <v>834</v>
      </c>
      <c r="BQ198" s="436"/>
      <c r="BR198" s="167" t="s">
        <v>834</v>
      </c>
      <c r="BS198" s="167"/>
      <c r="BT198" s="167" t="s">
        <v>834</v>
      </c>
      <c r="BU198" s="167"/>
      <c r="BV198" s="167" t="s">
        <v>834</v>
      </c>
      <c r="BW198" s="167"/>
      <c r="BX198" s="437" t="s">
        <v>834</v>
      </c>
      <c r="BY198" s="171"/>
      <c r="BZ198" s="432"/>
      <c r="CA198" s="168"/>
      <c r="CB198" s="167" t="s">
        <v>834</v>
      </c>
      <c r="CC198" s="167"/>
      <c r="CD198" s="173" t="s">
        <v>834</v>
      </c>
      <c r="CE198" s="171"/>
      <c r="CF198" s="167" t="s">
        <v>834</v>
      </c>
      <c r="CG198" s="168" t="s">
        <v>2386</v>
      </c>
      <c r="CH198" s="167" t="s">
        <v>834</v>
      </c>
      <c r="CI198" s="168" t="s">
        <v>2387</v>
      </c>
      <c r="CJ198" s="167" t="s">
        <v>834</v>
      </c>
      <c r="CK198" s="168"/>
      <c r="CL198" s="385" t="s">
        <v>834</v>
      </c>
      <c r="CM198" s="168"/>
      <c r="CN198" s="385" t="s">
        <v>834</v>
      </c>
      <c r="CO198" s="167"/>
      <c r="CP198" s="167" t="s">
        <v>834</v>
      </c>
      <c r="CQ198" s="167"/>
      <c r="CR198" s="373" t="s">
        <v>834</v>
      </c>
      <c r="CS198" s="373"/>
      <c r="CT198" s="432">
        <v>1.5</v>
      </c>
      <c r="CU198" s="168" t="s">
        <v>840</v>
      </c>
      <c r="CV198" s="442" t="s">
        <v>834</v>
      </c>
      <c r="CW198" s="168" t="s">
        <v>2388</v>
      </c>
      <c r="CX198" s="168" t="s">
        <v>834</v>
      </c>
      <c r="CY198" s="168"/>
      <c r="CZ198" s="173" t="s">
        <v>834</v>
      </c>
      <c r="DA198" s="171"/>
      <c r="DB198" s="371"/>
      <c r="DC198" s="371">
        <f t="shared" si="19"/>
        <v>4</v>
      </c>
      <c r="DD198" s="371"/>
      <c r="DE198" s="371"/>
      <c r="DF198" s="371"/>
      <c r="DG198" s="371"/>
      <c r="DH198" s="371"/>
      <c r="DI198" s="371"/>
      <c r="DJ198" s="371"/>
      <c r="DK198" s="371"/>
      <c r="DL198" s="371"/>
      <c r="DM198" s="371"/>
      <c r="DN198" s="371"/>
      <c r="DO198" s="371"/>
      <c r="DP198" s="371"/>
      <c r="DQ198" s="371"/>
      <c r="DR198" s="371"/>
    </row>
    <row r="199" spans="1:122" ht="18.75" x14ac:dyDescent="0.3">
      <c r="A199" s="325">
        <v>62311</v>
      </c>
      <c r="B199" s="326">
        <v>151</v>
      </c>
      <c r="C199" s="327" t="s">
        <v>2389</v>
      </c>
      <c r="D199" s="424" t="s">
        <v>834</v>
      </c>
      <c r="E199" s="328"/>
      <c r="F199" s="173"/>
      <c r="G199" s="173"/>
      <c r="H199" s="373" t="s">
        <v>834</v>
      </c>
      <c r="I199" s="427"/>
      <c r="J199" s="173" t="s">
        <v>834</v>
      </c>
      <c r="K199" s="371" t="s">
        <v>2390</v>
      </c>
      <c r="L199" s="426" t="s">
        <v>834</v>
      </c>
      <c r="M199" s="427"/>
      <c r="N199" s="173" t="s">
        <v>834</v>
      </c>
      <c r="O199" s="171"/>
      <c r="P199" s="385" t="s">
        <v>834</v>
      </c>
      <c r="Q199" s="427" t="s">
        <v>2391</v>
      </c>
      <c r="R199" s="374">
        <v>0.39800000000000002</v>
      </c>
      <c r="S199" s="168" t="s">
        <v>837</v>
      </c>
      <c r="T199" s="428" t="s">
        <v>834</v>
      </c>
      <c r="U199" s="376"/>
      <c r="V199" s="429" t="s">
        <v>834</v>
      </c>
      <c r="W199" s="377" t="s">
        <v>2365</v>
      </c>
      <c r="X199" s="167" t="s">
        <v>834</v>
      </c>
      <c r="Y199" s="168" t="s">
        <v>856</v>
      </c>
      <c r="Z199" s="167">
        <v>4</v>
      </c>
      <c r="AA199" s="168"/>
      <c r="AB199" s="167" t="s">
        <v>834</v>
      </c>
      <c r="AC199" s="168"/>
      <c r="AD199" s="430" t="s">
        <v>834</v>
      </c>
      <c r="AE199" s="168"/>
      <c r="AF199" s="173" t="s">
        <v>834</v>
      </c>
      <c r="AG199" s="171"/>
      <c r="AH199" s="167" t="s">
        <v>834</v>
      </c>
      <c r="AI199" s="168"/>
      <c r="AJ199" s="373" t="s">
        <v>834</v>
      </c>
      <c r="AK199" s="431"/>
      <c r="AL199" s="167" t="s">
        <v>834</v>
      </c>
      <c r="AM199" s="168"/>
      <c r="AN199" s="173" t="s">
        <v>834</v>
      </c>
      <c r="AO199" s="171"/>
      <c r="AP199" s="432" t="s">
        <v>834</v>
      </c>
      <c r="AQ199" s="168"/>
      <c r="AR199" s="173" t="s">
        <v>834</v>
      </c>
      <c r="AS199" s="171"/>
      <c r="AT199" s="173" t="s">
        <v>834</v>
      </c>
      <c r="AU199" s="171"/>
      <c r="AV199" s="381" t="s">
        <v>834</v>
      </c>
      <c r="AW199" s="168"/>
      <c r="AX199" s="433" t="s">
        <v>834</v>
      </c>
      <c r="AY199" s="427"/>
      <c r="AZ199" s="167" t="s">
        <v>834</v>
      </c>
      <c r="BA199" s="427"/>
      <c r="BB199" s="164" t="s">
        <v>834</v>
      </c>
      <c r="BC199" s="168"/>
      <c r="BD199" s="464" t="s">
        <v>546</v>
      </c>
      <c r="BE199" s="427"/>
      <c r="BF199" s="384" t="s">
        <v>834</v>
      </c>
      <c r="BG199" s="168"/>
      <c r="BH199" s="432" t="s">
        <v>834</v>
      </c>
      <c r="BI199" s="427"/>
      <c r="BJ199" s="167"/>
      <c r="BK199" s="167"/>
      <c r="BL199" s="167" t="s">
        <v>834</v>
      </c>
      <c r="BM199" s="168"/>
      <c r="BN199" s="173">
        <v>5.125</v>
      </c>
      <c r="BO199" s="171" t="s">
        <v>2376</v>
      </c>
      <c r="BP199" s="435" t="s">
        <v>834</v>
      </c>
      <c r="BQ199" s="436"/>
      <c r="BR199" s="167" t="s">
        <v>834</v>
      </c>
      <c r="BS199" s="168"/>
      <c r="BT199" s="167" t="s">
        <v>834</v>
      </c>
      <c r="BU199" s="168"/>
      <c r="BV199" s="167" t="s">
        <v>834</v>
      </c>
      <c r="BW199" s="168"/>
      <c r="BX199" s="437" t="s">
        <v>834</v>
      </c>
      <c r="BY199" s="171"/>
      <c r="BZ199" s="432"/>
      <c r="CA199" s="168"/>
      <c r="CB199" s="167" t="s">
        <v>834</v>
      </c>
      <c r="CC199" s="168"/>
      <c r="CD199" s="173" t="s">
        <v>834</v>
      </c>
      <c r="CE199" s="171"/>
      <c r="CF199" s="167" t="s">
        <v>834</v>
      </c>
      <c r="CG199" s="168" t="s">
        <v>2392</v>
      </c>
      <c r="CH199" s="167" t="s">
        <v>834</v>
      </c>
      <c r="CI199" s="168"/>
      <c r="CJ199" s="167" t="s">
        <v>834</v>
      </c>
      <c r="CK199" s="168"/>
      <c r="CL199" s="385" t="s">
        <v>834</v>
      </c>
      <c r="CM199" s="168"/>
      <c r="CN199" s="385" t="s">
        <v>834</v>
      </c>
      <c r="CO199" s="168"/>
      <c r="CP199" s="167" t="s">
        <v>834</v>
      </c>
      <c r="CQ199" s="168"/>
      <c r="CR199" s="373" t="s">
        <v>834</v>
      </c>
      <c r="CS199" s="427"/>
      <c r="CT199" s="432">
        <v>1.5</v>
      </c>
      <c r="CU199" s="168" t="s">
        <v>840</v>
      </c>
      <c r="CV199" s="442" t="s">
        <v>834</v>
      </c>
      <c r="CW199" s="168"/>
      <c r="CX199" s="168" t="s">
        <v>834</v>
      </c>
      <c r="CY199" s="168"/>
      <c r="CZ199" s="173" t="s">
        <v>834</v>
      </c>
      <c r="DA199" s="171"/>
      <c r="DB199" s="371"/>
      <c r="DC199" s="371">
        <f t="shared" si="19"/>
        <v>4</v>
      </c>
      <c r="DD199" s="371"/>
      <c r="DE199" s="371"/>
      <c r="DF199" s="371"/>
      <c r="DG199" s="371"/>
      <c r="DH199" s="371"/>
      <c r="DI199" s="371"/>
      <c r="DJ199" s="371"/>
      <c r="DK199" s="371"/>
      <c r="DL199" s="371"/>
      <c r="DM199" s="371"/>
      <c r="DN199" s="371"/>
      <c r="DO199" s="371"/>
      <c r="DP199" s="371"/>
      <c r="DQ199" s="371"/>
      <c r="DR199" s="371"/>
    </row>
    <row r="200" spans="1:122" ht="18.75" x14ac:dyDescent="0.3">
      <c r="A200" s="325">
        <v>6211</v>
      </c>
      <c r="B200" s="326">
        <v>152</v>
      </c>
      <c r="C200" s="327" t="s">
        <v>2393</v>
      </c>
      <c r="D200" s="424" t="s">
        <v>834</v>
      </c>
      <c r="E200" s="328"/>
      <c r="F200" s="173" t="s">
        <v>546</v>
      </c>
      <c r="G200" s="173"/>
      <c r="H200" s="373" t="s">
        <v>834</v>
      </c>
      <c r="I200" s="427"/>
      <c r="J200" s="173" t="s">
        <v>834</v>
      </c>
      <c r="K200" s="371"/>
      <c r="L200" s="426" t="s">
        <v>834</v>
      </c>
      <c r="M200" s="427"/>
      <c r="N200" s="173" t="s">
        <v>834</v>
      </c>
      <c r="O200" s="171"/>
      <c r="P200" s="385" t="s">
        <v>834</v>
      </c>
      <c r="Q200" s="427" t="s">
        <v>2391</v>
      </c>
      <c r="R200" s="374">
        <v>0.39800000000000002</v>
      </c>
      <c r="S200" s="168" t="s">
        <v>837</v>
      </c>
      <c r="T200" s="428" t="s">
        <v>834</v>
      </c>
      <c r="U200" s="376"/>
      <c r="V200" s="429" t="s">
        <v>834</v>
      </c>
      <c r="W200" s="377" t="s">
        <v>2365</v>
      </c>
      <c r="X200" s="167" t="s">
        <v>834</v>
      </c>
      <c r="Y200" s="168" t="s">
        <v>856</v>
      </c>
      <c r="Z200" s="167">
        <v>4</v>
      </c>
      <c r="AA200" s="168"/>
      <c r="AB200" s="167" t="s">
        <v>834</v>
      </c>
      <c r="AC200" s="168"/>
      <c r="AD200" s="430" t="s">
        <v>834</v>
      </c>
      <c r="AE200" s="168"/>
      <c r="AF200" s="173" t="s">
        <v>834</v>
      </c>
      <c r="AG200" s="171"/>
      <c r="AH200" s="167" t="s">
        <v>834</v>
      </c>
      <c r="AI200" s="168"/>
      <c r="AJ200" s="373" t="s">
        <v>834</v>
      </c>
      <c r="AK200" s="431"/>
      <c r="AL200" s="167" t="s">
        <v>834</v>
      </c>
      <c r="AM200" s="168"/>
      <c r="AN200" s="173" t="s">
        <v>834</v>
      </c>
      <c r="AO200" s="171"/>
      <c r="AP200" s="432" t="s">
        <v>834</v>
      </c>
      <c r="AQ200" s="168"/>
      <c r="AR200" s="173" t="s">
        <v>834</v>
      </c>
      <c r="AS200" s="171"/>
      <c r="AT200" s="173" t="s">
        <v>834</v>
      </c>
      <c r="AU200" s="171"/>
      <c r="AV200" s="381" t="s">
        <v>834</v>
      </c>
      <c r="AW200" s="168"/>
      <c r="AX200" s="433" t="s">
        <v>834</v>
      </c>
      <c r="AY200" s="427"/>
      <c r="AZ200" s="167" t="s">
        <v>834</v>
      </c>
      <c r="BA200" s="427"/>
      <c r="BB200" s="164" t="s">
        <v>834</v>
      </c>
      <c r="BC200" s="168"/>
      <c r="BD200" s="464" t="s">
        <v>546</v>
      </c>
      <c r="BE200" s="427"/>
      <c r="BF200" s="384" t="s">
        <v>834</v>
      </c>
      <c r="BG200" s="168"/>
      <c r="BH200" s="432" t="s">
        <v>834</v>
      </c>
      <c r="BI200" s="427"/>
      <c r="BJ200" s="167"/>
      <c r="BK200" s="167"/>
      <c r="BL200" s="167" t="s">
        <v>834</v>
      </c>
      <c r="BM200" s="168"/>
      <c r="BN200" s="173">
        <v>5.125</v>
      </c>
      <c r="BO200" s="171" t="s">
        <v>2394</v>
      </c>
      <c r="BP200" s="435" t="s">
        <v>834</v>
      </c>
      <c r="BQ200" s="436"/>
      <c r="BR200" s="167" t="s">
        <v>834</v>
      </c>
      <c r="BS200" s="168"/>
      <c r="BT200" s="167" t="s">
        <v>834</v>
      </c>
      <c r="BU200" s="168"/>
      <c r="BV200" s="167" t="s">
        <v>834</v>
      </c>
      <c r="BW200" s="168"/>
      <c r="BX200" s="437" t="s">
        <v>834</v>
      </c>
      <c r="BY200" s="171"/>
      <c r="BZ200" s="432"/>
      <c r="CA200" s="168"/>
      <c r="CB200" s="167" t="s">
        <v>834</v>
      </c>
      <c r="CC200" s="168"/>
      <c r="CD200" s="173" t="s">
        <v>834</v>
      </c>
      <c r="CE200" s="171"/>
      <c r="CF200" s="167" t="s">
        <v>834</v>
      </c>
      <c r="CG200" s="168" t="s">
        <v>2395</v>
      </c>
      <c r="CH200" s="167" t="s">
        <v>834</v>
      </c>
      <c r="CI200" s="168"/>
      <c r="CJ200" s="167" t="s">
        <v>834</v>
      </c>
      <c r="CK200" s="168"/>
      <c r="CL200" s="385" t="s">
        <v>834</v>
      </c>
      <c r="CM200" s="168"/>
      <c r="CN200" s="385" t="s">
        <v>834</v>
      </c>
      <c r="CO200" s="168"/>
      <c r="CP200" s="167" t="s">
        <v>834</v>
      </c>
      <c r="CQ200" s="168"/>
      <c r="CR200" s="373" t="s">
        <v>834</v>
      </c>
      <c r="CS200" s="427"/>
      <c r="CT200" s="432">
        <v>1.5</v>
      </c>
      <c r="CU200" s="168" t="s">
        <v>840</v>
      </c>
      <c r="CV200" s="442" t="s">
        <v>834</v>
      </c>
      <c r="CW200" s="168" t="s">
        <v>2374</v>
      </c>
      <c r="CX200" s="168" t="s">
        <v>834</v>
      </c>
      <c r="CY200" s="168"/>
      <c r="CZ200" s="173" t="s">
        <v>834</v>
      </c>
      <c r="DA200" s="171"/>
      <c r="DB200" s="371"/>
      <c r="DC200" s="371">
        <f t="shared" si="19"/>
        <v>4</v>
      </c>
      <c r="DD200" s="371"/>
      <c r="DE200" s="371"/>
      <c r="DF200" s="371"/>
      <c r="DG200" s="371"/>
      <c r="DH200" s="371"/>
      <c r="DI200" s="371"/>
      <c r="DJ200" s="371"/>
      <c r="DK200" s="371"/>
      <c r="DL200" s="371"/>
      <c r="DM200" s="371"/>
      <c r="DN200" s="371"/>
      <c r="DO200" s="371"/>
      <c r="DP200" s="371"/>
      <c r="DQ200" s="371"/>
      <c r="DR200" s="371"/>
    </row>
    <row r="201" spans="1:122" ht="18.75" x14ac:dyDescent="0.3">
      <c r="A201" s="325"/>
      <c r="B201" s="326"/>
      <c r="C201" s="456"/>
      <c r="D201" s="424"/>
      <c r="E201" s="328"/>
      <c r="F201" s="173"/>
      <c r="G201" s="173"/>
      <c r="H201" s="373"/>
      <c r="I201" s="427"/>
      <c r="J201" s="173"/>
      <c r="K201" s="371"/>
      <c r="L201" s="426"/>
      <c r="M201" s="427"/>
      <c r="N201" s="173"/>
      <c r="O201" s="171"/>
      <c r="P201" s="385"/>
      <c r="Q201" s="427"/>
      <c r="R201" s="374"/>
      <c r="S201" s="168"/>
      <c r="T201" s="428"/>
      <c r="U201" s="376"/>
      <c r="V201" s="429"/>
      <c r="W201" s="377"/>
      <c r="X201" s="167"/>
      <c r="Y201" s="168"/>
      <c r="Z201" s="167"/>
      <c r="AA201" s="168"/>
      <c r="AB201" s="167"/>
      <c r="AC201" s="168"/>
      <c r="AD201" s="430" t="s">
        <v>546</v>
      </c>
      <c r="AE201" s="168"/>
      <c r="AF201" s="173"/>
      <c r="AG201" s="171"/>
      <c r="AH201" s="167"/>
      <c r="AI201" s="168"/>
      <c r="AJ201" s="373"/>
      <c r="AK201" s="431"/>
      <c r="AL201" s="167"/>
      <c r="AM201" s="168"/>
      <c r="AN201" s="173"/>
      <c r="AO201" s="171"/>
      <c r="AP201" s="432"/>
      <c r="AQ201" s="168"/>
      <c r="AR201" s="173"/>
      <c r="AS201" s="171"/>
      <c r="AT201" s="173"/>
      <c r="AU201" s="171"/>
      <c r="AV201" s="381"/>
      <c r="AW201" s="168"/>
      <c r="AX201" s="433"/>
      <c r="AY201" s="427"/>
      <c r="AZ201" s="167"/>
      <c r="BA201" s="427"/>
      <c r="BB201" s="164"/>
      <c r="BC201" s="168"/>
      <c r="BD201" s="464"/>
      <c r="BE201" s="427"/>
      <c r="BF201" s="384"/>
      <c r="BG201" s="168"/>
      <c r="BH201" s="432"/>
      <c r="BI201" s="427"/>
      <c r="BJ201" s="167"/>
      <c r="BK201" s="167"/>
      <c r="BL201" s="167"/>
      <c r="BM201" s="168"/>
      <c r="BN201" s="173"/>
      <c r="BO201" s="171"/>
      <c r="BP201" s="435"/>
      <c r="BQ201" s="436"/>
      <c r="BR201" s="167"/>
      <c r="BS201" s="168"/>
      <c r="BT201" s="167"/>
      <c r="BU201" s="168"/>
      <c r="BV201" s="167"/>
      <c r="BW201" s="168"/>
      <c r="BX201" s="437"/>
      <c r="BY201" s="171"/>
      <c r="BZ201" s="432"/>
      <c r="CA201" s="168"/>
      <c r="CB201" s="167"/>
      <c r="CC201" s="168"/>
      <c r="CD201" s="173"/>
      <c r="CE201" s="171"/>
      <c r="CF201" s="167"/>
      <c r="CG201" s="168"/>
      <c r="CH201" s="167"/>
      <c r="CI201" s="168"/>
      <c r="CJ201" s="167"/>
      <c r="CK201" s="168"/>
      <c r="CL201" s="385"/>
      <c r="CM201" s="168"/>
      <c r="CN201" s="385"/>
      <c r="CO201" s="168"/>
      <c r="CP201" s="167"/>
      <c r="CQ201" s="168"/>
      <c r="CR201" s="373"/>
      <c r="CS201" s="427"/>
      <c r="CT201" s="432"/>
      <c r="CU201" s="168"/>
      <c r="CV201" s="432"/>
      <c r="CW201" s="168"/>
      <c r="CX201" s="168"/>
      <c r="CY201" s="168"/>
      <c r="CZ201" s="173"/>
      <c r="DA201" s="171"/>
      <c r="DB201" s="371"/>
      <c r="DC201" s="371"/>
      <c r="DD201" s="371"/>
      <c r="DE201" s="371"/>
      <c r="DF201" s="371"/>
      <c r="DG201" s="371"/>
      <c r="DH201" s="371"/>
      <c r="DI201" s="371"/>
      <c r="DJ201" s="371"/>
      <c r="DK201" s="371"/>
      <c r="DL201" s="371"/>
      <c r="DM201" s="371"/>
      <c r="DN201" s="371"/>
      <c r="DO201" s="371"/>
      <c r="DP201" s="371"/>
      <c r="DQ201" s="371"/>
      <c r="DR201" s="371"/>
    </row>
    <row r="202" spans="1:122" ht="18.75" x14ac:dyDescent="0.3">
      <c r="A202" s="389"/>
      <c r="B202" s="484"/>
      <c r="C202" s="391" t="s">
        <v>2396</v>
      </c>
      <c r="D202" s="392" t="s">
        <v>832</v>
      </c>
      <c r="E202" s="450"/>
      <c r="F202" s="394" t="s">
        <v>832</v>
      </c>
      <c r="G202" s="172"/>
      <c r="H202" s="394" t="s">
        <v>832</v>
      </c>
      <c r="I202" s="401"/>
      <c r="J202" s="438" t="s">
        <v>832</v>
      </c>
      <c r="K202" s="397"/>
      <c r="L202" s="438" t="s">
        <v>832</v>
      </c>
      <c r="M202" s="409"/>
      <c r="N202" s="400" t="s">
        <v>832</v>
      </c>
      <c r="O202" s="172"/>
      <c r="P202" s="400" t="s">
        <v>832</v>
      </c>
      <c r="Q202" s="401"/>
      <c r="R202" s="400" t="s">
        <v>832</v>
      </c>
      <c r="S202" s="451"/>
      <c r="T202" s="400" t="s">
        <v>832</v>
      </c>
      <c r="U202" s="486"/>
      <c r="V202" s="400" t="s">
        <v>832</v>
      </c>
      <c r="W202" s="406"/>
      <c r="X202" s="400" t="s">
        <v>832</v>
      </c>
      <c r="Y202" s="451"/>
      <c r="Z202" s="400" t="s">
        <v>832</v>
      </c>
      <c r="AA202" s="451"/>
      <c r="AB202" s="400" t="s">
        <v>832</v>
      </c>
      <c r="AC202" s="451"/>
      <c r="AD202" s="408" t="s">
        <v>832</v>
      </c>
      <c r="AE202" s="452"/>
      <c r="AF202" s="408" t="s">
        <v>832</v>
      </c>
      <c r="AG202" s="172"/>
      <c r="AH202" s="408" t="s">
        <v>832</v>
      </c>
      <c r="AI202" s="451"/>
      <c r="AJ202" s="408" t="s">
        <v>832</v>
      </c>
      <c r="AK202" s="409"/>
      <c r="AL202" s="407" t="s">
        <v>832</v>
      </c>
      <c r="AM202" s="451"/>
      <c r="AN202" s="491" t="s">
        <v>832</v>
      </c>
      <c r="AO202" s="172"/>
      <c r="AP202" s="408" t="s">
        <v>832</v>
      </c>
      <c r="AQ202" s="451"/>
      <c r="AR202" s="438" t="s">
        <v>832</v>
      </c>
      <c r="AS202" s="172"/>
      <c r="AT202" s="438" t="s">
        <v>832</v>
      </c>
      <c r="AU202" s="172"/>
      <c r="AV202" s="408" t="s">
        <v>832</v>
      </c>
      <c r="AW202" s="451"/>
      <c r="AX202" s="408" t="s">
        <v>832</v>
      </c>
      <c r="AY202" s="399"/>
      <c r="AZ202" s="407" t="s">
        <v>832</v>
      </c>
      <c r="BA202" s="401"/>
      <c r="BB202" s="408" t="s">
        <v>832</v>
      </c>
      <c r="BC202" s="451"/>
      <c r="BD202" s="407" t="s">
        <v>832</v>
      </c>
      <c r="BE202" s="401"/>
      <c r="BF202" s="407" t="s">
        <v>832</v>
      </c>
      <c r="BG202" s="170"/>
      <c r="BH202" s="408" t="s">
        <v>832</v>
      </c>
      <c r="BI202" s="399"/>
      <c r="BJ202" s="407" t="s">
        <v>832</v>
      </c>
      <c r="BK202" s="451"/>
      <c r="BL202" s="408" t="s">
        <v>832</v>
      </c>
      <c r="BM202" s="451"/>
      <c r="BN202" s="491" t="s">
        <v>832</v>
      </c>
      <c r="BO202" s="172"/>
      <c r="BP202" s="408" t="s">
        <v>832</v>
      </c>
      <c r="BQ202" s="419"/>
      <c r="BR202" s="407" t="s">
        <v>832</v>
      </c>
      <c r="BS202" s="451"/>
      <c r="BT202" s="408" t="s">
        <v>832</v>
      </c>
      <c r="BU202" s="451"/>
      <c r="BV202" s="407" t="s">
        <v>832</v>
      </c>
      <c r="BW202" s="451"/>
      <c r="BX202" s="438" t="s">
        <v>832</v>
      </c>
      <c r="BY202" s="172"/>
      <c r="BZ202" s="408" t="s">
        <v>832</v>
      </c>
      <c r="CA202" s="170"/>
      <c r="CB202" s="408" t="s">
        <v>832</v>
      </c>
      <c r="CC202" s="451"/>
      <c r="CD202" s="407" t="s">
        <v>832</v>
      </c>
      <c r="CE202" s="172"/>
      <c r="CF202" s="408" t="s">
        <v>832</v>
      </c>
      <c r="CG202" s="451"/>
      <c r="CH202" s="408" t="s">
        <v>832</v>
      </c>
      <c r="CI202" s="170"/>
      <c r="CJ202" s="408" t="s">
        <v>832</v>
      </c>
      <c r="CK202" s="451"/>
      <c r="CL202" s="407" t="s">
        <v>832</v>
      </c>
      <c r="CM202" s="451"/>
      <c r="CN202" s="407" t="s">
        <v>832</v>
      </c>
      <c r="CO202" s="451"/>
      <c r="CP202" s="408" t="s">
        <v>832</v>
      </c>
      <c r="CQ202" s="451"/>
      <c r="CR202" s="408" t="s">
        <v>832</v>
      </c>
      <c r="CS202" s="399"/>
      <c r="CT202" s="408" t="s">
        <v>832</v>
      </c>
      <c r="CU202" s="170"/>
      <c r="CV202" s="407" t="s">
        <v>832</v>
      </c>
      <c r="CW202" s="170"/>
      <c r="CX202" s="407" t="s">
        <v>832</v>
      </c>
      <c r="CY202" s="170"/>
      <c r="CZ202" s="407" t="s">
        <v>832</v>
      </c>
      <c r="DA202" s="172"/>
      <c r="DB202" s="397"/>
      <c r="DC202" s="397"/>
      <c r="DD202" s="397"/>
      <c r="DE202" s="397"/>
      <c r="DF202" s="397"/>
      <c r="DG202" s="397"/>
      <c r="DH202" s="397"/>
      <c r="DI202" s="397"/>
      <c r="DJ202" s="397"/>
      <c r="DK202" s="397"/>
      <c r="DL202" s="397"/>
      <c r="DM202" s="397"/>
      <c r="DN202" s="397"/>
      <c r="DO202" s="397"/>
      <c r="DP202" s="397"/>
      <c r="DQ202" s="397"/>
      <c r="DR202" s="397"/>
    </row>
    <row r="203" spans="1:122" ht="18.75" x14ac:dyDescent="0.3">
      <c r="A203" s="325">
        <v>5322</v>
      </c>
      <c r="B203" s="326">
        <v>153</v>
      </c>
      <c r="C203" s="327" t="s">
        <v>2397</v>
      </c>
      <c r="D203" s="424">
        <v>4</v>
      </c>
      <c r="E203" s="328" t="s">
        <v>2398</v>
      </c>
      <c r="F203" s="173" t="s">
        <v>546</v>
      </c>
      <c r="G203" s="173"/>
      <c r="H203" s="373">
        <v>7.5</v>
      </c>
      <c r="I203" s="427" t="s">
        <v>2399</v>
      </c>
      <c r="J203" s="173">
        <v>5.6</v>
      </c>
      <c r="K203" s="371" t="s">
        <v>2400</v>
      </c>
      <c r="L203" s="426">
        <v>7.25</v>
      </c>
      <c r="M203" s="427" t="s">
        <v>2401</v>
      </c>
      <c r="N203" s="173">
        <v>2.9</v>
      </c>
      <c r="O203" s="171" t="s">
        <v>2402</v>
      </c>
      <c r="P203" s="445">
        <v>6.35</v>
      </c>
      <c r="Q203" s="427"/>
      <c r="R203" s="457">
        <v>0.29870000000000002</v>
      </c>
      <c r="S203" s="168" t="s">
        <v>2340</v>
      </c>
      <c r="T203" s="428">
        <v>5.75</v>
      </c>
      <c r="U203" s="376"/>
      <c r="V203" s="429">
        <v>6</v>
      </c>
      <c r="W203" s="377"/>
      <c r="X203" s="167">
        <v>4</v>
      </c>
      <c r="Y203" s="168"/>
      <c r="Z203" s="167">
        <v>4</v>
      </c>
      <c r="AA203" s="168"/>
      <c r="AB203" s="167">
        <v>6</v>
      </c>
      <c r="AC203" s="168"/>
      <c r="AD203" s="430" t="s">
        <v>995</v>
      </c>
      <c r="AE203" s="168"/>
      <c r="AF203" s="173">
        <v>7</v>
      </c>
      <c r="AG203" s="171"/>
      <c r="AH203" s="167">
        <v>6</v>
      </c>
      <c r="AI203" s="168"/>
      <c r="AJ203" s="373">
        <v>6.5</v>
      </c>
      <c r="AK203" s="431" t="s">
        <v>863</v>
      </c>
      <c r="AL203" s="167">
        <v>6</v>
      </c>
      <c r="AM203" s="168" t="s">
        <v>2403</v>
      </c>
      <c r="AN203" s="173">
        <v>5</v>
      </c>
      <c r="AO203" s="171" t="s">
        <v>2404</v>
      </c>
      <c r="AP203" s="432" t="s">
        <v>834</v>
      </c>
      <c r="AQ203" s="377" t="s">
        <v>2405</v>
      </c>
      <c r="AR203" s="173">
        <v>6</v>
      </c>
      <c r="AS203" s="171"/>
      <c r="AT203" s="173">
        <v>6.25</v>
      </c>
      <c r="AU203" s="171"/>
      <c r="AV203" s="458">
        <v>6</v>
      </c>
      <c r="AW203" s="168" t="s">
        <v>1628</v>
      </c>
      <c r="AX203" s="433">
        <v>6.875</v>
      </c>
      <c r="AY203" s="427"/>
      <c r="AZ203" s="167">
        <v>7</v>
      </c>
      <c r="BA203" s="427"/>
      <c r="BB203" s="165">
        <v>4.2249999999999996</v>
      </c>
      <c r="BC203" s="168" t="s">
        <v>2406</v>
      </c>
      <c r="BD203" s="464" t="s">
        <v>546</v>
      </c>
      <c r="BE203" s="427"/>
      <c r="BF203" s="384">
        <v>5.5</v>
      </c>
      <c r="BG203" s="168"/>
      <c r="BH203" s="442">
        <v>6.85</v>
      </c>
      <c r="BI203" s="427" t="s">
        <v>1631</v>
      </c>
      <c r="BJ203" s="167" t="s">
        <v>546</v>
      </c>
      <c r="BK203" s="167"/>
      <c r="BL203" s="167">
        <v>6.875</v>
      </c>
      <c r="BM203" s="168"/>
      <c r="BN203" s="173">
        <v>5.125</v>
      </c>
      <c r="BO203" s="171" t="s">
        <v>2407</v>
      </c>
      <c r="BP203" s="435">
        <v>4</v>
      </c>
      <c r="BQ203" s="436"/>
      <c r="BR203" s="385">
        <v>4.75</v>
      </c>
      <c r="BS203" s="168"/>
      <c r="BT203" s="167">
        <v>5</v>
      </c>
      <c r="BU203" s="168" t="s">
        <v>2408</v>
      </c>
      <c r="BV203" s="441">
        <v>5.75</v>
      </c>
      <c r="BW203" s="168" t="s">
        <v>2409</v>
      </c>
      <c r="BX203" s="437">
        <v>4.5</v>
      </c>
      <c r="BY203" s="171"/>
      <c r="BZ203" s="432"/>
      <c r="CA203" s="168"/>
      <c r="CB203" s="167">
        <v>6</v>
      </c>
      <c r="CC203" s="168"/>
      <c r="CD203" s="173">
        <v>7</v>
      </c>
      <c r="CE203" s="171" t="s">
        <v>2410</v>
      </c>
      <c r="CF203" s="373">
        <v>6</v>
      </c>
      <c r="CG203" s="175" t="s">
        <v>2411</v>
      </c>
      <c r="CH203" s="167">
        <v>4.5</v>
      </c>
      <c r="CI203" s="168"/>
      <c r="CJ203" s="167">
        <v>7</v>
      </c>
      <c r="CK203" s="168" t="s">
        <v>2412</v>
      </c>
      <c r="CL203" s="385">
        <v>6.25</v>
      </c>
      <c r="CM203" s="168" t="s">
        <v>2413</v>
      </c>
      <c r="CN203" s="385">
        <v>4.7</v>
      </c>
      <c r="CO203" s="168"/>
      <c r="CP203" s="167">
        <v>6</v>
      </c>
      <c r="CQ203" s="168"/>
      <c r="CR203" s="373">
        <v>5.3</v>
      </c>
      <c r="CS203" s="427"/>
      <c r="CT203" s="432">
        <v>6.5</v>
      </c>
      <c r="CU203" s="168" t="s">
        <v>938</v>
      </c>
      <c r="CV203" s="432">
        <v>6</v>
      </c>
      <c r="CW203" s="168"/>
      <c r="CX203" s="168">
        <v>5</v>
      </c>
      <c r="CY203" s="168"/>
      <c r="CZ203" s="173">
        <v>4</v>
      </c>
      <c r="DA203" s="171" t="s">
        <v>2414</v>
      </c>
      <c r="DB203" s="371" t="s">
        <v>546</v>
      </c>
      <c r="DC203" s="371">
        <f t="shared" ref="DC203:DC213" si="20">COUNT(D203:CZ203)</f>
        <v>45</v>
      </c>
      <c r="DD203" s="371"/>
      <c r="DE203" s="371"/>
      <c r="DF203" s="371"/>
      <c r="DG203" s="371"/>
      <c r="DH203" s="371"/>
      <c r="DI203" s="371"/>
      <c r="DJ203" s="371"/>
      <c r="DK203" s="371"/>
      <c r="DL203" s="371"/>
      <c r="DM203" s="371"/>
      <c r="DN203" s="371"/>
      <c r="DO203" s="371"/>
      <c r="DP203" s="371"/>
      <c r="DQ203" s="371"/>
      <c r="DR203" s="371"/>
    </row>
    <row r="204" spans="1:122" ht="18.75" x14ac:dyDescent="0.3">
      <c r="A204" s="325">
        <v>5322</v>
      </c>
      <c r="B204" s="326">
        <v>154</v>
      </c>
      <c r="C204" s="327" t="s">
        <v>2415</v>
      </c>
      <c r="D204" s="424">
        <v>4</v>
      </c>
      <c r="E204" s="328" t="s">
        <v>2398</v>
      </c>
      <c r="F204" s="173" t="s">
        <v>546</v>
      </c>
      <c r="G204" s="173"/>
      <c r="H204" s="373">
        <v>6.5</v>
      </c>
      <c r="I204" s="427" t="s">
        <v>2416</v>
      </c>
      <c r="J204" s="173">
        <v>5.6</v>
      </c>
      <c r="K204" s="371" t="s">
        <v>2400</v>
      </c>
      <c r="L204" s="426">
        <v>7.25</v>
      </c>
      <c r="M204" s="427" t="s">
        <v>2417</v>
      </c>
      <c r="N204" s="173">
        <v>2.9</v>
      </c>
      <c r="O204" s="171" t="s">
        <v>2402</v>
      </c>
      <c r="P204" s="445">
        <v>6.35</v>
      </c>
      <c r="Q204" s="427"/>
      <c r="R204" s="457">
        <v>0.29870000000000002</v>
      </c>
      <c r="S204" s="168" t="s">
        <v>2340</v>
      </c>
      <c r="T204" s="428">
        <v>5.75</v>
      </c>
      <c r="U204" s="376"/>
      <c r="V204" s="429">
        <v>6</v>
      </c>
      <c r="W204" s="377"/>
      <c r="X204" s="167">
        <v>4</v>
      </c>
      <c r="Y204" s="168"/>
      <c r="Z204" s="167">
        <v>4</v>
      </c>
      <c r="AA204" s="168"/>
      <c r="AB204" s="167">
        <v>6</v>
      </c>
      <c r="AC204" s="168"/>
      <c r="AD204" s="430" t="s">
        <v>995</v>
      </c>
      <c r="AE204" s="168"/>
      <c r="AF204" s="173">
        <v>7</v>
      </c>
      <c r="AG204" s="171"/>
      <c r="AH204" s="167">
        <v>6</v>
      </c>
      <c r="AI204" s="168"/>
      <c r="AJ204" s="373">
        <v>6.5</v>
      </c>
      <c r="AK204" s="431" t="s">
        <v>863</v>
      </c>
      <c r="AL204" s="167">
        <v>6</v>
      </c>
      <c r="AM204" s="168" t="s">
        <v>2418</v>
      </c>
      <c r="AN204" s="173">
        <v>5</v>
      </c>
      <c r="AO204" s="171" t="s">
        <v>2404</v>
      </c>
      <c r="AP204" s="432" t="s">
        <v>834</v>
      </c>
      <c r="AQ204" s="168" t="s">
        <v>2419</v>
      </c>
      <c r="AR204" s="173">
        <v>6</v>
      </c>
      <c r="AS204" s="171"/>
      <c r="AT204" s="173">
        <v>6.25</v>
      </c>
      <c r="AU204" s="171"/>
      <c r="AV204" s="458">
        <v>6</v>
      </c>
      <c r="AW204" s="168" t="s">
        <v>1628</v>
      </c>
      <c r="AX204" s="433">
        <v>6.875</v>
      </c>
      <c r="AY204" s="427"/>
      <c r="AZ204" s="167">
        <v>7</v>
      </c>
      <c r="BA204" s="427"/>
      <c r="BB204" s="165">
        <v>4.2249999999999996</v>
      </c>
      <c r="BC204" s="168" t="s">
        <v>2406</v>
      </c>
      <c r="BD204" s="464" t="s">
        <v>546</v>
      </c>
      <c r="BE204" s="427"/>
      <c r="BF204" s="384">
        <v>5.5</v>
      </c>
      <c r="BG204" s="168"/>
      <c r="BH204" s="442">
        <v>6.85</v>
      </c>
      <c r="BI204" s="427" t="s">
        <v>1631</v>
      </c>
      <c r="BJ204" s="167" t="s">
        <v>546</v>
      </c>
      <c r="BK204" s="167"/>
      <c r="BL204" s="167">
        <v>6.875</v>
      </c>
      <c r="BM204" s="168"/>
      <c r="BN204" s="173">
        <v>5.125</v>
      </c>
      <c r="BO204" s="171" t="s">
        <v>2407</v>
      </c>
      <c r="BP204" s="435">
        <v>4</v>
      </c>
      <c r="BQ204" s="436"/>
      <c r="BR204" s="385">
        <v>4.75</v>
      </c>
      <c r="BS204" s="168"/>
      <c r="BT204" s="167">
        <v>5</v>
      </c>
      <c r="BU204" s="168" t="s">
        <v>2408</v>
      </c>
      <c r="BV204" s="441">
        <v>5.75</v>
      </c>
      <c r="BW204" s="168" t="s">
        <v>2409</v>
      </c>
      <c r="BX204" s="437">
        <v>4.5</v>
      </c>
      <c r="BY204" s="171"/>
      <c r="BZ204" s="432"/>
      <c r="CA204" s="168"/>
      <c r="CB204" s="167">
        <v>6</v>
      </c>
      <c r="CC204" s="168"/>
      <c r="CD204" s="173">
        <v>7</v>
      </c>
      <c r="CE204" s="171" t="s">
        <v>2420</v>
      </c>
      <c r="CF204" s="167">
        <v>6</v>
      </c>
      <c r="CG204" s="168"/>
      <c r="CH204" s="167">
        <v>4.5</v>
      </c>
      <c r="CI204" s="168"/>
      <c r="CJ204" s="167">
        <v>7</v>
      </c>
      <c r="CK204" s="168" t="s">
        <v>2412</v>
      </c>
      <c r="CL204" s="385">
        <v>6.25</v>
      </c>
      <c r="CM204" s="168" t="s">
        <v>2421</v>
      </c>
      <c r="CN204" s="385">
        <v>4.7</v>
      </c>
      <c r="CO204" s="168"/>
      <c r="CP204" s="167">
        <v>6</v>
      </c>
      <c r="CQ204" s="168"/>
      <c r="CR204" s="373">
        <v>5.3</v>
      </c>
      <c r="CS204" s="427"/>
      <c r="CT204" s="432">
        <v>6.5</v>
      </c>
      <c r="CU204" s="168" t="s">
        <v>938</v>
      </c>
      <c r="CV204" s="432">
        <v>6</v>
      </c>
      <c r="CW204" s="168"/>
      <c r="CX204" s="168">
        <v>5</v>
      </c>
      <c r="CY204" s="168"/>
      <c r="CZ204" s="173">
        <v>4</v>
      </c>
      <c r="DA204" s="171" t="s">
        <v>2414</v>
      </c>
      <c r="DB204" s="371" t="s">
        <v>546</v>
      </c>
      <c r="DC204" s="371">
        <f t="shared" si="20"/>
        <v>45</v>
      </c>
      <c r="DD204" s="371"/>
      <c r="DE204" s="371"/>
      <c r="DF204" s="371"/>
      <c r="DG204" s="371"/>
      <c r="DH204" s="371"/>
      <c r="DI204" s="371"/>
      <c r="DJ204" s="371"/>
      <c r="DK204" s="371"/>
      <c r="DL204" s="371"/>
      <c r="DM204" s="371"/>
      <c r="DN204" s="371"/>
      <c r="DO204" s="371"/>
      <c r="DP204" s="371"/>
      <c r="DQ204" s="371"/>
      <c r="DR204" s="371"/>
    </row>
    <row r="205" spans="1:122" ht="18.75" x14ac:dyDescent="0.3">
      <c r="A205" s="325">
        <v>532412</v>
      </c>
      <c r="B205" s="326">
        <v>155</v>
      </c>
      <c r="C205" s="327" t="s">
        <v>2422</v>
      </c>
      <c r="D205" s="424">
        <v>1.5</v>
      </c>
      <c r="E205" s="328" t="s">
        <v>2423</v>
      </c>
      <c r="F205" s="173" t="s">
        <v>546</v>
      </c>
      <c r="G205" s="171"/>
      <c r="H205" s="373">
        <v>7.5</v>
      </c>
      <c r="I205" s="427" t="s">
        <v>2424</v>
      </c>
      <c r="J205" s="173">
        <v>5.6</v>
      </c>
      <c r="K205" s="371" t="s">
        <v>2425</v>
      </c>
      <c r="L205" s="588">
        <v>7.25</v>
      </c>
      <c r="M205" s="427" t="s">
        <v>2417</v>
      </c>
      <c r="N205" s="173">
        <v>2.9</v>
      </c>
      <c r="O205" s="171" t="s">
        <v>2402</v>
      </c>
      <c r="P205" s="445">
        <v>6.35</v>
      </c>
      <c r="Q205" s="427" t="s">
        <v>2426</v>
      </c>
      <c r="R205" s="457">
        <v>0.29870000000000002</v>
      </c>
      <c r="S205" s="168" t="s">
        <v>2340</v>
      </c>
      <c r="T205" s="428">
        <v>5.75</v>
      </c>
      <c r="U205" s="376"/>
      <c r="V205" s="441">
        <v>6</v>
      </c>
      <c r="W205" s="377" t="s">
        <v>2427</v>
      </c>
      <c r="X205" s="167">
        <v>4</v>
      </c>
      <c r="Y205" s="444"/>
      <c r="Z205" s="167">
        <v>4</v>
      </c>
      <c r="AA205" s="444"/>
      <c r="AB205" s="167">
        <v>6</v>
      </c>
      <c r="AC205" s="444"/>
      <c r="AD205" s="430" t="s">
        <v>995</v>
      </c>
      <c r="AE205" s="447"/>
      <c r="AF205" s="173">
        <v>7</v>
      </c>
      <c r="AG205" s="171"/>
      <c r="AH205" s="544" t="s">
        <v>834</v>
      </c>
      <c r="AI205" s="589" t="s">
        <v>2428</v>
      </c>
      <c r="AJ205" s="373">
        <v>6.5</v>
      </c>
      <c r="AK205" s="431" t="s">
        <v>863</v>
      </c>
      <c r="AL205" s="167">
        <v>6</v>
      </c>
      <c r="AM205" s="168" t="s">
        <v>2429</v>
      </c>
      <c r="AN205" s="173">
        <v>5</v>
      </c>
      <c r="AO205" s="171" t="s">
        <v>2430</v>
      </c>
      <c r="AP205" s="432" t="s">
        <v>834</v>
      </c>
      <c r="AQ205" s="168" t="s">
        <v>2419</v>
      </c>
      <c r="AR205" s="173">
        <v>6</v>
      </c>
      <c r="AS205" s="171"/>
      <c r="AT205" s="173">
        <v>6.25</v>
      </c>
      <c r="AU205" s="171" t="s">
        <v>2431</v>
      </c>
      <c r="AV205" s="458">
        <v>6</v>
      </c>
      <c r="AW205" s="168" t="s">
        <v>1628</v>
      </c>
      <c r="AX205" s="433">
        <v>6.875</v>
      </c>
      <c r="AY205" s="427"/>
      <c r="AZ205" s="167">
        <v>7</v>
      </c>
      <c r="BA205" s="427"/>
      <c r="BB205" s="164">
        <v>4.2249999999999996</v>
      </c>
      <c r="BC205" s="168" t="s">
        <v>2406</v>
      </c>
      <c r="BD205" s="464"/>
      <c r="BE205" s="427"/>
      <c r="BF205" s="384">
        <v>5.5</v>
      </c>
      <c r="BG205" s="168"/>
      <c r="BH205" s="442">
        <v>6.85</v>
      </c>
      <c r="BI205" s="427" t="s">
        <v>1631</v>
      </c>
      <c r="BJ205" s="167" t="s">
        <v>546</v>
      </c>
      <c r="BK205" s="167"/>
      <c r="BL205" s="167">
        <v>6.875</v>
      </c>
      <c r="BM205" s="168"/>
      <c r="BN205" s="173">
        <v>5.125</v>
      </c>
      <c r="BO205" s="171"/>
      <c r="BP205" s="435">
        <v>4</v>
      </c>
      <c r="BQ205" s="436"/>
      <c r="BR205" s="385">
        <v>4.75</v>
      </c>
      <c r="BS205" s="168"/>
      <c r="BT205" s="167">
        <v>5</v>
      </c>
      <c r="BU205" s="168" t="s">
        <v>2432</v>
      </c>
      <c r="BV205" s="441">
        <v>5.75</v>
      </c>
      <c r="BW205" s="168" t="s">
        <v>2433</v>
      </c>
      <c r="BX205" s="437">
        <v>4.5</v>
      </c>
      <c r="BY205" s="171" t="s">
        <v>2434</v>
      </c>
      <c r="BZ205" s="432" t="s">
        <v>546</v>
      </c>
      <c r="CA205" s="168"/>
      <c r="CB205" s="167">
        <v>6</v>
      </c>
      <c r="CC205" s="168"/>
      <c r="CD205" s="173">
        <v>7</v>
      </c>
      <c r="CE205" s="171" t="s">
        <v>2410</v>
      </c>
      <c r="CF205" s="167">
        <v>6</v>
      </c>
      <c r="CG205" s="175" t="s">
        <v>2435</v>
      </c>
      <c r="CH205" s="167">
        <v>4.5</v>
      </c>
      <c r="CI205" s="168" t="s">
        <v>2436</v>
      </c>
      <c r="CJ205" s="167">
        <v>7</v>
      </c>
      <c r="CK205" s="168"/>
      <c r="CL205" s="385">
        <v>6.25</v>
      </c>
      <c r="CM205" s="168"/>
      <c r="CN205" s="385">
        <v>4.7</v>
      </c>
      <c r="CO205" s="168"/>
      <c r="CP205" s="167">
        <v>6</v>
      </c>
      <c r="CQ205" s="168"/>
      <c r="CR205" s="373">
        <v>5.3</v>
      </c>
      <c r="CS205" s="427"/>
      <c r="CT205" s="432">
        <v>6.5</v>
      </c>
      <c r="CU205" s="168" t="s">
        <v>938</v>
      </c>
      <c r="CV205" s="432">
        <v>6</v>
      </c>
      <c r="CW205" s="168"/>
      <c r="CX205" s="168">
        <v>5</v>
      </c>
      <c r="CY205" s="168"/>
      <c r="CZ205" s="173">
        <v>4</v>
      </c>
      <c r="DA205" s="171" t="s">
        <v>2414</v>
      </c>
      <c r="DB205" s="371" t="s">
        <v>546</v>
      </c>
      <c r="DC205" s="371">
        <f t="shared" si="20"/>
        <v>44</v>
      </c>
      <c r="DD205" s="371"/>
      <c r="DE205" s="371"/>
      <c r="DF205" s="371"/>
      <c r="DG205" s="371"/>
      <c r="DH205" s="371"/>
      <c r="DI205" s="371"/>
      <c r="DJ205" s="371"/>
      <c r="DK205" s="371"/>
      <c r="DL205" s="371"/>
      <c r="DM205" s="371"/>
      <c r="DN205" s="371"/>
      <c r="DO205" s="371"/>
      <c r="DP205" s="371"/>
      <c r="DQ205" s="371"/>
      <c r="DR205" s="371"/>
    </row>
    <row r="206" spans="1:122" ht="18.75" x14ac:dyDescent="0.3">
      <c r="A206" s="325">
        <v>532412</v>
      </c>
      <c r="B206" s="326">
        <v>156</v>
      </c>
      <c r="C206" s="327" t="s">
        <v>2437</v>
      </c>
      <c r="D206" s="424">
        <v>1.5</v>
      </c>
      <c r="E206" s="328" t="s">
        <v>2423</v>
      </c>
      <c r="F206" s="173" t="s">
        <v>546</v>
      </c>
      <c r="G206" s="171"/>
      <c r="H206" s="373">
        <v>6.5</v>
      </c>
      <c r="I206" s="427" t="s">
        <v>2438</v>
      </c>
      <c r="J206" s="173">
        <v>5.6</v>
      </c>
      <c r="K206" s="371" t="s">
        <v>2425</v>
      </c>
      <c r="L206" s="426">
        <v>7.25</v>
      </c>
      <c r="M206" s="427" t="s">
        <v>2417</v>
      </c>
      <c r="N206" s="173">
        <v>2.9</v>
      </c>
      <c r="O206" s="171" t="s">
        <v>2402</v>
      </c>
      <c r="P206" s="445">
        <v>6.35</v>
      </c>
      <c r="Q206" s="427" t="s">
        <v>2426</v>
      </c>
      <c r="R206" s="457">
        <v>0.29870000000000002</v>
      </c>
      <c r="S206" s="168" t="s">
        <v>2340</v>
      </c>
      <c r="T206" s="428">
        <v>5.75</v>
      </c>
      <c r="U206" s="376"/>
      <c r="V206" s="441">
        <v>6</v>
      </c>
      <c r="W206" s="377" t="s">
        <v>2427</v>
      </c>
      <c r="X206" s="167">
        <v>4</v>
      </c>
      <c r="Y206" s="444"/>
      <c r="Z206" s="167">
        <v>4</v>
      </c>
      <c r="AA206" s="444"/>
      <c r="AB206" s="167">
        <v>6</v>
      </c>
      <c r="AC206" s="444"/>
      <c r="AD206" s="430" t="s">
        <v>995</v>
      </c>
      <c r="AE206" s="447"/>
      <c r="AF206" s="173">
        <v>7</v>
      </c>
      <c r="AG206" s="171"/>
      <c r="AH206" s="544" t="s">
        <v>834</v>
      </c>
      <c r="AI206" s="589" t="s">
        <v>2428</v>
      </c>
      <c r="AJ206" s="373">
        <v>6.5</v>
      </c>
      <c r="AK206" s="431" t="s">
        <v>863</v>
      </c>
      <c r="AL206" s="167">
        <v>6</v>
      </c>
      <c r="AM206" s="168" t="s">
        <v>2429</v>
      </c>
      <c r="AN206" s="173">
        <v>5</v>
      </c>
      <c r="AO206" s="171" t="s">
        <v>2430</v>
      </c>
      <c r="AP206" s="432" t="s">
        <v>834</v>
      </c>
      <c r="AQ206" s="168" t="s">
        <v>2419</v>
      </c>
      <c r="AR206" s="173">
        <v>6</v>
      </c>
      <c r="AS206" s="171"/>
      <c r="AT206" s="173">
        <v>6.25</v>
      </c>
      <c r="AU206" s="171" t="s">
        <v>2431</v>
      </c>
      <c r="AV206" s="458">
        <v>6</v>
      </c>
      <c r="AW206" s="168" t="s">
        <v>1628</v>
      </c>
      <c r="AX206" s="433">
        <v>6.875</v>
      </c>
      <c r="AY206" s="427"/>
      <c r="AZ206" s="167">
        <v>7</v>
      </c>
      <c r="BA206" s="427"/>
      <c r="BB206" s="164">
        <v>4.2249999999999996</v>
      </c>
      <c r="BC206" s="168" t="s">
        <v>2406</v>
      </c>
      <c r="BD206" s="464"/>
      <c r="BE206" s="427"/>
      <c r="BF206" s="384">
        <v>5.5</v>
      </c>
      <c r="BG206" s="168"/>
      <c r="BH206" s="442">
        <v>6.85</v>
      </c>
      <c r="BI206" s="427" t="s">
        <v>1631</v>
      </c>
      <c r="BJ206" s="167" t="s">
        <v>546</v>
      </c>
      <c r="BK206" s="167"/>
      <c r="BL206" s="167">
        <v>6.875</v>
      </c>
      <c r="BM206" s="168"/>
      <c r="BN206" s="173">
        <v>5.125</v>
      </c>
      <c r="BO206" s="171"/>
      <c r="BP206" s="435">
        <v>4</v>
      </c>
      <c r="BQ206" s="436"/>
      <c r="BR206" s="385">
        <v>4.75</v>
      </c>
      <c r="BS206" s="168"/>
      <c r="BT206" s="167">
        <v>5</v>
      </c>
      <c r="BU206" s="168" t="s">
        <v>2432</v>
      </c>
      <c r="BV206" s="441">
        <v>5.75</v>
      </c>
      <c r="BW206" s="168" t="s">
        <v>2433</v>
      </c>
      <c r="BX206" s="437">
        <v>4.5</v>
      </c>
      <c r="BY206" s="171" t="s">
        <v>2434</v>
      </c>
      <c r="BZ206" s="432" t="s">
        <v>546</v>
      </c>
      <c r="CA206" s="168"/>
      <c r="CB206" s="167">
        <v>6</v>
      </c>
      <c r="CC206" s="168"/>
      <c r="CD206" s="173">
        <v>7</v>
      </c>
      <c r="CE206" s="171" t="s">
        <v>2410</v>
      </c>
      <c r="CF206" s="167">
        <v>6</v>
      </c>
      <c r="CG206" s="175" t="s">
        <v>2435</v>
      </c>
      <c r="CH206" s="167">
        <v>4.5</v>
      </c>
      <c r="CI206" s="168" t="s">
        <v>2436</v>
      </c>
      <c r="CJ206" s="167">
        <v>7</v>
      </c>
      <c r="CK206" s="168"/>
      <c r="CL206" s="385">
        <v>6.25</v>
      </c>
      <c r="CM206" s="168"/>
      <c r="CN206" s="385">
        <v>4.7</v>
      </c>
      <c r="CO206" s="168"/>
      <c r="CP206" s="167">
        <v>6</v>
      </c>
      <c r="CQ206" s="168"/>
      <c r="CR206" s="373">
        <v>5.3</v>
      </c>
      <c r="CS206" s="427"/>
      <c r="CT206" s="432">
        <v>6.5</v>
      </c>
      <c r="CU206" s="168" t="s">
        <v>938</v>
      </c>
      <c r="CV206" s="432">
        <v>6</v>
      </c>
      <c r="CW206" s="168"/>
      <c r="CX206" s="168">
        <v>5</v>
      </c>
      <c r="CY206" s="168"/>
      <c r="CZ206" s="173">
        <v>4</v>
      </c>
      <c r="DA206" s="171" t="s">
        <v>2414</v>
      </c>
      <c r="DB206" s="371" t="s">
        <v>546</v>
      </c>
      <c r="DC206" s="371">
        <f t="shared" si="20"/>
        <v>44</v>
      </c>
      <c r="DD206" s="371"/>
      <c r="DE206" s="371"/>
      <c r="DF206" s="371"/>
      <c r="DG206" s="371"/>
      <c r="DH206" s="371"/>
      <c r="DI206" s="371"/>
      <c r="DJ206" s="371"/>
      <c r="DK206" s="371"/>
      <c r="DL206" s="371"/>
      <c r="DM206" s="371"/>
      <c r="DN206" s="371"/>
      <c r="DO206" s="371"/>
      <c r="DP206" s="371"/>
      <c r="DQ206" s="371"/>
      <c r="DR206" s="371"/>
    </row>
    <row r="207" spans="1:122" ht="18.75" x14ac:dyDescent="0.3">
      <c r="A207" s="325">
        <v>532310</v>
      </c>
      <c r="B207" s="326">
        <v>157</v>
      </c>
      <c r="C207" s="327" t="s">
        <v>2439</v>
      </c>
      <c r="D207" s="424">
        <v>4</v>
      </c>
      <c r="E207" s="328" t="s">
        <v>2398</v>
      </c>
      <c r="F207" s="173" t="s">
        <v>546</v>
      </c>
      <c r="G207" s="173"/>
      <c r="H207" s="373">
        <v>7.5</v>
      </c>
      <c r="I207" s="427" t="s">
        <v>2440</v>
      </c>
      <c r="J207" s="173">
        <v>5.6</v>
      </c>
      <c r="K207" s="371" t="s">
        <v>1461</v>
      </c>
      <c r="L207" s="426">
        <v>7.25</v>
      </c>
      <c r="M207" s="427" t="s">
        <v>2401</v>
      </c>
      <c r="N207" s="173">
        <v>2.9</v>
      </c>
      <c r="O207" s="171" t="s">
        <v>2402</v>
      </c>
      <c r="P207" s="445">
        <v>6.35</v>
      </c>
      <c r="Q207" s="373"/>
      <c r="R207" s="457">
        <v>0.29870000000000002</v>
      </c>
      <c r="S207" s="168" t="s">
        <v>2340</v>
      </c>
      <c r="T207" s="428">
        <v>5.75</v>
      </c>
      <c r="U207" s="376"/>
      <c r="V207" s="441">
        <v>6</v>
      </c>
      <c r="W207" s="377"/>
      <c r="X207" s="167">
        <v>4</v>
      </c>
      <c r="Y207" s="168"/>
      <c r="Z207" s="167">
        <v>4</v>
      </c>
      <c r="AA207" s="168"/>
      <c r="AB207" s="167">
        <v>6</v>
      </c>
      <c r="AC207" s="168"/>
      <c r="AD207" s="430" t="s">
        <v>995</v>
      </c>
      <c r="AE207" s="168"/>
      <c r="AF207" s="173">
        <v>7</v>
      </c>
      <c r="AG207" s="171"/>
      <c r="AH207" s="544" t="s">
        <v>834</v>
      </c>
      <c r="AI207" s="589" t="s">
        <v>2428</v>
      </c>
      <c r="AJ207" s="373">
        <v>6.5</v>
      </c>
      <c r="AK207" s="431" t="s">
        <v>863</v>
      </c>
      <c r="AL207" s="167">
        <v>6</v>
      </c>
      <c r="AM207" s="168" t="s">
        <v>1353</v>
      </c>
      <c r="AN207" s="173">
        <v>5</v>
      </c>
      <c r="AO207" s="171"/>
      <c r="AP207" s="432" t="s">
        <v>834</v>
      </c>
      <c r="AQ207" s="168" t="s">
        <v>2419</v>
      </c>
      <c r="AR207" s="173">
        <v>6</v>
      </c>
      <c r="AS207" s="171"/>
      <c r="AT207" s="173">
        <v>6.25</v>
      </c>
      <c r="AU207" s="171" t="s">
        <v>2441</v>
      </c>
      <c r="AV207" s="458">
        <v>6</v>
      </c>
      <c r="AW207" s="168" t="s">
        <v>1628</v>
      </c>
      <c r="AX207" s="433">
        <v>6.875</v>
      </c>
      <c r="AY207" s="427"/>
      <c r="AZ207" s="167">
        <v>7</v>
      </c>
      <c r="BA207" s="427"/>
      <c r="BB207" s="164">
        <v>4.2249999999999996</v>
      </c>
      <c r="BC207" s="168" t="s">
        <v>2406</v>
      </c>
      <c r="BD207" s="464"/>
      <c r="BE207" s="427"/>
      <c r="BF207" s="384">
        <v>5.5</v>
      </c>
      <c r="BG207" s="168"/>
      <c r="BH207" s="442">
        <v>6.85</v>
      </c>
      <c r="BI207" s="427" t="s">
        <v>1631</v>
      </c>
      <c r="BJ207" s="167" t="s">
        <v>546</v>
      </c>
      <c r="BK207" s="167"/>
      <c r="BL207" s="167">
        <v>6.875</v>
      </c>
      <c r="BM207" s="168"/>
      <c r="BN207" s="173">
        <v>5.125</v>
      </c>
      <c r="BO207" s="171"/>
      <c r="BP207" s="435">
        <v>4</v>
      </c>
      <c r="BQ207" s="436"/>
      <c r="BR207" s="385">
        <v>4.75</v>
      </c>
      <c r="BS207" s="168"/>
      <c r="BT207" s="167">
        <v>5</v>
      </c>
      <c r="BU207" s="168"/>
      <c r="BV207" s="441">
        <v>5.75</v>
      </c>
      <c r="BW207" s="168" t="s">
        <v>2409</v>
      </c>
      <c r="BX207" s="437">
        <v>4.5</v>
      </c>
      <c r="BY207" s="171"/>
      <c r="BZ207" s="432"/>
      <c r="CA207" s="168"/>
      <c r="CB207" s="167">
        <v>6</v>
      </c>
      <c r="CC207" s="175"/>
      <c r="CD207" s="173">
        <v>7</v>
      </c>
      <c r="CE207" s="171" t="s">
        <v>2410</v>
      </c>
      <c r="CF207" s="167">
        <v>6</v>
      </c>
      <c r="CG207" s="175"/>
      <c r="CH207" s="167">
        <v>4.5</v>
      </c>
      <c r="CI207" s="168"/>
      <c r="CJ207" s="167">
        <v>7</v>
      </c>
      <c r="CK207" s="168"/>
      <c r="CL207" s="385">
        <v>6.25</v>
      </c>
      <c r="CM207" s="168"/>
      <c r="CN207" s="385">
        <v>4.7</v>
      </c>
      <c r="CO207" s="168"/>
      <c r="CP207" s="167">
        <v>6</v>
      </c>
      <c r="CQ207" s="168"/>
      <c r="CR207" s="373">
        <v>5.3</v>
      </c>
      <c r="CS207" s="427"/>
      <c r="CT207" s="432">
        <v>6.5</v>
      </c>
      <c r="CU207" s="168" t="s">
        <v>938</v>
      </c>
      <c r="CV207" s="432">
        <v>6</v>
      </c>
      <c r="CW207" s="168"/>
      <c r="CX207" s="168">
        <v>5</v>
      </c>
      <c r="CY207" s="168"/>
      <c r="CZ207" s="173">
        <v>4</v>
      </c>
      <c r="DA207" s="171" t="s">
        <v>2414</v>
      </c>
      <c r="DB207" s="371" t="s">
        <v>546</v>
      </c>
      <c r="DC207" s="371">
        <f t="shared" si="20"/>
        <v>44</v>
      </c>
      <c r="DD207" s="371"/>
      <c r="DE207" s="371"/>
      <c r="DF207" s="371"/>
      <c r="DG207" s="371"/>
      <c r="DH207" s="371"/>
      <c r="DI207" s="371"/>
      <c r="DJ207" s="371"/>
      <c r="DK207" s="371"/>
      <c r="DL207" s="371"/>
      <c r="DM207" s="371"/>
      <c r="DN207" s="371"/>
      <c r="DO207" s="371"/>
      <c r="DP207" s="371"/>
      <c r="DQ207" s="371"/>
      <c r="DR207" s="371"/>
    </row>
    <row r="208" spans="1:122" ht="18.75" x14ac:dyDescent="0.25">
      <c r="A208" s="325">
        <v>532111</v>
      </c>
      <c r="B208" s="326">
        <v>158</v>
      </c>
      <c r="C208" s="327" t="s">
        <v>2442</v>
      </c>
      <c r="D208" s="424">
        <v>1.5</v>
      </c>
      <c r="E208" s="328" t="s">
        <v>2423</v>
      </c>
      <c r="F208" s="173" t="s">
        <v>546</v>
      </c>
      <c r="G208" s="173"/>
      <c r="H208" s="474">
        <v>16.5</v>
      </c>
      <c r="I208" s="427" t="s">
        <v>2443</v>
      </c>
      <c r="J208" s="173">
        <v>5.6</v>
      </c>
      <c r="K208" s="371" t="s">
        <v>2400</v>
      </c>
      <c r="L208" s="426">
        <v>7.25</v>
      </c>
      <c r="M208" s="427" t="s">
        <v>2417</v>
      </c>
      <c r="N208" s="173">
        <v>2.9</v>
      </c>
      <c r="O208" s="171" t="s">
        <v>2402</v>
      </c>
      <c r="P208" s="445">
        <v>9.35</v>
      </c>
      <c r="Q208" s="427" t="s">
        <v>2444</v>
      </c>
      <c r="R208" s="457">
        <v>0.29870000000000002</v>
      </c>
      <c r="S208" s="168" t="s">
        <v>2340</v>
      </c>
      <c r="T208" s="590">
        <v>10</v>
      </c>
      <c r="U208" s="470" t="s">
        <v>2445</v>
      </c>
      <c r="V208" s="441">
        <v>6</v>
      </c>
      <c r="W208" s="377" t="s">
        <v>2446</v>
      </c>
      <c r="X208" s="167">
        <v>4</v>
      </c>
      <c r="Y208" s="168"/>
      <c r="Z208" s="167">
        <v>4</v>
      </c>
      <c r="AA208" s="168"/>
      <c r="AB208" s="167">
        <v>6</v>
      </c>
      <c r="AC208" s="168"/>
      <c r="AD208" s="430">
        <v>5</v>
      </c>
      <c r="AE208" s="168"/>
      <c r="AF208" s="173">
        <v>7</v>
      </c>
      <c r="AG208" s="171" t="s">
        <v>2447</v>
      </c>
      <c r="AH208" s="489">
        <v>11</v>
      </c>
      <c r="AI208" s="453" t="s">
        <v>2448</v>
      </c>
      <c r="AJ208" s="373">
        <v>6.5</v>
      </c>
      <c r="AK208" s="431" t="s">
        <v>863</v>
      </c>
      <c r="AL208" s="167">
        <v>6</v>
      </c>
      <c r="AM208" s="478" t="s">
        <v>2449</v>
      </c>
      <c r="AN208" s="173">
        <v>5</v>
      </c>
      <c r="AO208" s="171" t="s">
        <v>2450</v>
      </c>
      <c r="AP208" s="432">
        <v>10</v>
      </c>
      <c r="AQ208" s="377" t="s">
        <v>2451</v>
      </c>
      <c r="AR208" s="173">
        <v>11.5</v>
      </c>
      <c r="AS208" s="171" t="s">
        <v>2452</v>
      </c>
      <c r="AT208" s="173">
        <v>6.25</v>
      </c>
      <c r="AU208" s="171"/>
      <c r="AV208" s="458">
        <v>6</v>
      </c>
      <c r="AW208" s="168" t="s">
        <v>1628</v>
      </c>
      <c r="AX208" s="443">
        <v>6.875</v>
      </c>
      <c r="AY208" s="427" t="s">
        <v>2453</v>
      </c>
      <c r="AZ208" s="373">
        <v>5</v>
      </c>
      <c r="BA208" s="427" t="s">
        <v>2454</v>
      </c>
      <c r="BB208" s="164">
        <v>4.2249999999999996</v>
      </c>
      <c r="BC208" s="168" t="s">
        <v>2406</v>
      </c>
      <c r="BD208" s="434">
        <v>0.04</v>
      </c>
      <c r="BE208" s="427" t="s">
        <v>2455</v>
      </c>
      <c r="BF208" s="384">
        <v>5.5</v>
      </c>
      <c r="BG208" s="168" t="s">
        <v>2456</v>
      </c>
      <c r="BH208" s="442">
        <v>6.85</v>
      </c>
      <c r="BI208" s="427" t="s">
        <v>2457</v>
      </c>
      <c r="BJ208" s="167">
        <v>9</v>
      </c>
      <c r="BK208" s="168" t="s">
        <v>2458</v>
      </c>
      <c r="BL208" s="167">
        <v>6.875</v>
      </c>
      <c r="BM208" s="168"/>
      <c r="BN208" s="173">
        <v>5.125</v>
      </c>
      <c r="BO208" s="171" t="s">
        <v>2459</v>
      </c>
      <c r="BP208" s="466">
        <v>4</v>
      </c>
      <c r="BQ208" s="471" t="s">
        <v>2460</v>
      </c>
      <c r="BR208" s="373">
        <v>8</v>
      </c>
      <c r="BS208" s="168" t="s">
        <v>2461</v>
      </c>
      <c r="BT208" s="373">
        <v>8</v>
      </c>
      <c r="BU208" s="168" t="s">
        <v>2462</v>
      </c>
      <c r="BV208" s="441">
        <v>5.75</v>
      </c>
      <c r="BW208" s="168" t="s">
        <v>2409</v>
      </c>
      <c r="BX208" s="437">
        <v>10.5</v>
      </c>
      <c r="BY208" s="171" t="s">
        <v>2463</v>
      </c>
      <c r="BZ208" s="432" t="s">
        <v>546</v>
      </c>
      <c r="CA208" s="168"/>
      <c r="CB208" s="373">
        <v>6</v>
      </c>
      <c r="CC208" s="175" t="s">
        <v>2464</v>
      </c>
      <c r="CD208" s="173">
        <v>15</v>
      </c>
      <c r="CE208" s="171" t="s">
        <v>2465</v>
      </c>
      <c r="CF208" s="167">
        <v>6</v>
      </c>
      <c r="CG208" s="175" t="s">
        <v>2466</v>
      </c>
      <c r="CH208" s="167">
        <v>4.5</v>
      </c>
      <c r="CI208" s="168" t="s">
        <v>2467</v>
      </c>
      <c r="CJ208" s="167">
        <v>7</v>
      </c>
      <c r="CK208" s="168"/>
      <c r="CL208" s="445">
        <v>6.25</v>
      </c>
      <c r="CM208" s="461" t="s">
        <v>2468</v>
      </c>
      <c r="CN208" s="445">
        <v>4.7</v>
      </c>
      <c r="CO208" s="168" t="s">
        <v>2469</v>
      </c>
      <c r="CP208" s="373">
        <v>7</v>
      </c>
      <c r="CQ208" s="168" t="s">
        <v>2470</v>
      </c>
      <c r="CR208" s="489" t="s">
        <v>834</v>
      </c>
      <c r="CS208" s="454" t="s">
        <v>2471</v>
      </c>
      <c r="CT208" s="432">
        <v>12.4</v>
      </c>
      <c r="CU208" s="168" t="s">
        <v>2472</v>
      </c>
      <c r="CV208" s="432">
        <v>6</v>
      </c>
      <c r="CW208" s="168"/>
      <c r="CX208" s="168">
        <v>10</v>
      </c>
      <c r="CY208" s="168" t="s">
        <v>2473</v>
      </c>
      <c r="CZ208" s="173">
        <v>4</v>
      </c>
      <c r="DA208" s="171" t="s">
        <v>2414</v>
      </c>
      <c r="DB208" s="371" t="s">
        <v>546</v>
      </c>
      <c r="DC208" s="371">
        <f t="shared" si="20"/>
        <v>48</v>
      </c>
      <c r="DD208" s="371"/>
      <c r="DE208" s="371"/>
      <c r="DF208" s="371"/>
      <c r="DG208" s="371"/>
      <c r="DH208" s="371"/>
      <c r="DI208" s="371"/>
      <c r="DJ208" s="371"/>
      <c r="DK208" s="371"/>
      <c r="DL208" s="371"/>
      <c r="DM208" s="371"/>
      <c r="DN208" s="371"/>
      <c r="DO208" s="371"/>
      <c r="DP208" s="371"/>
      <c r="DQ208" s="371"/>
      <c r="DR208" s="371"/>
    </row>
    <row r="209" spans="1:122" ht="18.75" x14ac:dyDescent="0.25">
      <c r="A209" s="325">
        <v>532112</v>
      </c>
      <c r="B209" s="326">
        <v>159</v>
      </c>
      <c r="C209" s="327" t="s">
        <v>2474</v>
      </c>
      <c r="D209" s="424">
        <v>1.5</v>
      </c>
      <c r="E209" s="328" t="s">
        <v>2423</v>
      </c>
      <c r="F209" s="173" t="s">
        <v>546</v>
      </c>
      <c r="G209" s="173"/>
      <c r="H209" s="373">
        <v>6.5</v>
      </c>
      <c r="I209" s="427" t="s">
        <v>2475</v>
      </c>
      <c r="J209" s="173">
        <v>5.6</v>
      </c>
      <c r="K209" s="371" t="s">
        <v>2400</v>
      </c>
      <c r="L209" s="426">
        <v>7.25</v>
      </c>
      <c r="M209" s="427" t="s">
        <v>2476</v>
      </c>
      <c r="N209" s="173">
        <v>2.9</v>
      </c>
      <c r="O209" s="171" t="s">
        <v>2402</v>
      </c>
      <c r="P209" s="445">
        <v>6.35</v>
      </c>
      <c r="Q209" s="427"/>
      <c r="R209" s="457">
        <v>0.29870000000000002</v>
      </c>
      <c r="S209" s="168" t="s">
        <v>2340</v>
      </c>
      <c r="T209" s="590">
        <v>10</v>
      </c>
      <c r="U209" s="470" t="s">
        <v>2445</v>
      </c>
      <c r="V209" s="441">
        <v>6</v>
      </c>
      <c r="W209" s="377" t="s">
        <v>2477</v>
      </c>
      <c r="X209" s="167">
        <v>4</v>
      </c>
      <c r="Y209" s="168"/>
      <c r="Z209" s="167">
        <v>4</v>
      </c>
      <c r="AA209" s="168"/>
      <c r="AB209" s="167">
        <v>6</v>
      </c>
      <c r="AC209" s="168"/>
      <c r="AD209" s="430">
        <v>6.25</v>
      </c>
      <c r="AE209" s="168"/>
      <c r="AF209" s="173">
        <v>7</v>
      </c>
      <c r="AG209" s="171"/>
      <c r="AH209" s="489">
        <v>5</v>
      </c>
      <c r="AI209" s="453" t="s">
        <v>2478</v>
      </c>
      <c r="AJ209" s="373">
        <v>6.5</v>
      </c>
      <c r="AK209" s="431" t="s">
        <v>863</v>
      </c>
      <c r="AL209" s="167">
        <v>6</v>
      </c>
      <c r="AM209" s="168" t="s">
        <v>2449</v>
      </c>
      <c r="AN209" s="173">
        <v>5</v>
      </c>
      <c r="AO209" s="171"/>
      <c r="AP209" s="429">
        <v>5.5</v>
      </c>
      <c r="AQ209" s="377" t="s">
        <v>2479</v>
      </c>
      <c r="AR209" s="173" t="s">
        <v>834</v>
      </c>
      <c r="AS209" s="171" t="s">
        <v>2480</v>
      </c>
      <c r="AT209" s="173">
        <v>6.25</v>
      </c>
      <c r="AU209" s="171"/>
      <c r="AV209" s="458">
        <v>6</v>
      </c>
      <c r="AW209" s="168" t="s">
        <v>1628</v>
      </c>
      <c r="AX209" s="443">
        <v>6.875</v>
      </c>
      <c r="AY209" s="427"/>
      <c r="AZ209" s="167">
        <v>5</v>
      </c>
      <c r="BA209" s="427"/>
      <c r="BB209" s="164">
        <v>4.2249999999999996</v>
      </c>
      <c r="BC209" s="168" t="s">
        <v>2406</v>
      </c>
      <c r="BD209" s="591" t="s">
        <v>546</v>
      </c>
      <c r="BE209" s="427"/>
      <c r="BF209" s="384">
        <v>5.5</v>
      </c>
      <c r="BG209" s="168" t="s">
        <v>2456</v>
      </c>
      <c r="BH209" s="442">
        <v>6.85</v>
      </c>
      <c r="BI209" s="427" t="s">
        <v>1631</v>
      </c>
      <c r="BJ209" s="167">
        <v>9</v>
      </c>
      <c r="BK209" s="168" t="s">
        <v>2481</v>
      </c>
      <c r="BL209" s="167">
        <v>6.875</v>
      </c>
      <c r="BM209" s="168"/>
      <c r="BN209" s="173">
        <v>5.125</v>
      </c>
      <c r="BO209" s="171"/>
      <c r="BP209" s="435">
        <v>4</v>
      </c>
      <c r="BQ209" s="436"/>
      <c r="BR209" s="373">
        <v>3</v>
      </c>
      <c r="BS209" s="168" t="s">
        <v>2482</v>
      </c>
      <c r="BT209" s="373">
        <v>5</v>
      </c>
      <c r="BU209" s="168" t="s">
        <v>2483</v>
      </c>
      <c r="BV209" s="441">
        <v>5.75</v>
      </c>
      <c r="BW209" s="168" t="s">
        <v>2484</v>
      </c>
      <c r="BX209" s="437" t="s">
        <v>834</v>
      </c>
      <c r="BY209" s="171" t="s">
        <v>2485</v>
      </c>
      <c r="BZ209" s="432" t="s">
        <v>546</v>
      </c>
      <c r="CA209" s="168"/>
      <c r="CB209" s="373">
        <v>6</v>
      </c>
      <c r="CC209" s="175" t="s">
        <v>2486</v>
      </c>
      <c r="CD209" s="173">
        <v>7</v>
      </c>
      <c r="CE209" s="171" t="s">
        <v>2410</v>
      </c>
      <c r="CF209" s="167">
        <v>6</v>
      </c>
      <c r="CG209" s="175" t="s">
        <v>2435</v>
      </c>
      <c r="CH209" s="167" t="s">
        <v>834</v>
      </c>
      <c r="CI209" s="168" t="s">
        <v>2467</v>
      </c>
      <c r="CJ209" s="167">
        <v>7</v>
      </c>
      <c r="CK209" s="168"/>
      <c r="CL209" s="385">
        <v>6.25</v>
      </c>
      <c r="CM209" s="461" t="s">
        <v>2487</v>
      </c>
      <c r="CN209" s="385">
        <v>4.7</v>
      </c>
      <c r="CO209" s="168"/>
      <c r="CP209" s="167" t="s">
        <v>834</v>
      </c>
      <c r="CQ209" s="168"/>
      <c r="CR209" s="489" t="s">
        <v>834</v>
      </c>
      <c r="CS209" s="427" t="s">
        <v>2488</v>
      </c>
      <c r="CT209" s="432">
        <v>6.8</v>
      </c>
      <c r="CU209" s="168" t="s">
        <v>938</v>
      </c>
      <c r="CV209" s="432" t="s">
        <v>834</v>
      </c>
      <c r="CW209" s="168" t="s">
        <v>2489</v>
      </c>
      <c r="CX209" s="168">
        <v>5</v>
      </c>
      <c r="CY209" s="168"/>
      <c r="CZ209" s="173">
        <v>4</v>
      </c>
      <c r="DA209" s="171" t="s">
        <v>2414</v>
      </c>
      <c r="DB209" s="371" t="s">
        <v>546</v>
      </c>
      <c r="DC209" s="371">
        <f t="shared" si="20"/>
        <v>42</v>
      </c>
      <c r="DD209" s="371"/>
      <c r="DE209" s="371"/>
      <c r="DF209" s="371"/>
      <c r="DG209" s="371"/>
      <c r="DH209" s="371"/>
      <c r="DI209" s="371"/>
      <c r="DJ209" s="371"/>
      <c r="DK209" s="371"/>
      <c r="DL209" s="371"/>
      <c r="DM209" s="371"/>
      <c r="DN209" s="371"/>
      <c r="DO209" s="371"/>
      <c r="DP209" s="371"/>
      <c r="DQ209" s="371"/>
      <c r="DR209" s="371"/>
    </row>
    <row r="210" spans="1:122" ht="18.75" x14ac:dyDescent="0.3">
      <c r="A210" s="325">
        <v>48532</v>
      </c>
      <c r="B210" s="326">
        <v>160</v>
      </c>
      <c r="C210" s="327" t="s">
        <v>2490</v>
      </c>
      <c r="D210" s="424" t="s">
        <v>834</v>
      </c>
      <c r="E210" s="328"/>
      <c r="F210" s="173" t="s">
        <v>546</v>
      </c>
      <c r="G210" s="173"/>
      <c r="H210" s="373" t="s">
        <v>834</v>
      </c>
      <c r="I210" s="427"/>
      <c r="J210" s="173">
        <v>5.6</v>
      </c>
      <c r="K210" s="371" t="s">
        <v>1101</v>
      </c>
      <c r="L210" s="426" t="s">
        <v>834</v>
      </c>
      <c r="M210" s="427" t="s">
        <v>2491</v>
      </c>
      <c r="N210" s="173" t="s">
        <v>834</v>
      </c>
      <c r="O210" s="171"/>
      <c r="P210" s="445">
        <v>6.35</v>
      </c>
      <c r="Q210" s="427"/>
      <c r="R210" s="457">
        <v>0.39800000000000002</v>
      </c>
      <c r="S210" s="168" t="s">
        <v>837</v>
      </c>
      <c r="T210" s="428">
        <v>5.75</v>
      </c>
      <c r="U210" s="376"/>
      <c r="V210" s="441" t="s">
        <v>834</v>
      </c>
      <c r="W210" s="377" t="s">
        <v>546</v>
      </c>
      <c r="X210" s="167">
        <v>4</v>
      </c>
      <c r="Y210" s="168" t="s">
        <v>2492</v>
      </c>
      <c r="Z210" s="167">
        <v>4</v>
      </c>
      <c r="AA210" s="168"/>
      <c r="AB210" s="167" t="s">
        <v>834</v>
      </c>
      <c r="AC210" s="168"/>
      <c r="AD210" s="430" t="s">
        <v>834</v>
      </c>
      <c r="AE210" s="168"/>
      <c r="AF210" s="173" t="s">
        <v>834</v>
      </c>
      <c r="AG210" s="171"/>
      <c r="AH210" s="373">
        <v>6</v>
      </c>
      <c r="AI210" s="168"/>
      <c r="AJ210" s="373" t="s">
        <v>834</v>
      </c>
      <c r="AK210" s="431"/>
      <c r="AL210" s="167" t="s">
        <v>834</v>
      </c>
      <c r="AM210" s="168"/>
      <c r="AN210" s="173" t="s">
        <v>834</v>
      </c>
      <c r="AO210" s="171"/>
      <c r="AP210" s="432" t="s">
        <v>834</v>
      </c>
      <c r="AQ210" s="168"/>
      <c r="AR210" s="173" t="s">
        <v>834</v>
      </c>
      <c r="AS210" s="171" t="s">
        <v>2493</v>
      </c>
      <c r="AT210" s="173" t="s">
        <v>834</v>
      </c>
      <c r="AU210" s="171" t="s">
        <v>2494</v>
      </c>
      <c r="AV210" s="381" t="s">
        <v>834</v>
      </c>
      <c r="AW210" s="168" t="s">
        <v>2495</v>
      </c>
      <c r="AX210" s="443" t="s">
        <v>834</v>
      </c>
      <c r="AY210" s="427"/>
      <c r="AZ210" s="167" t="s">
        <v>834</v>
      </c>
      <c r="BA210" s="427"/>
      <c r="BB210" s="164" t="s">
        <v>834</v>
      </c>
      <c r="BC210" s="168"/>
      <c r="BD210" s="591"/>
      <c r="BE210" s="427"/>
      <c r="BF210" s="384" t="s">
        <v>834</v>
      </c>
      <c r="BG210" s="168" t="s">
        <v>2496</v>
      </c>
      <c r="BH210" s="442" t="s">
        <v>834</v>
      </c>
      <c r="BI210" s="427"/>
      <c r="BJ210" s="167"/>
      <c r="BK210" s="167"/>
      <c r="BL210" s="167" t="s">
        <v>1413</v>
      </c>
      <c r="BM210" s="168" t="s">
        <v>2497</v>
      </c>
      <c r="BN210" s="173">
        <v>5.125</v>
      </c>
      <c r="BO210" s="171"/>
      <c r="BP210" s="466">
        <v>4</v>
      </c>
      <c r="BQ210" s="436"/>
      <c r="BR210" s="167" t="s">
        <v>834</v>
      </c>
      <c r="BS210" s="168"/>
      <c r="BT210" s="373" t="s">
        <v>834</v>
      </c>
      <c r="BU210" s="168"/>
      <c r="BV210" s="441">
        <v>5.75</v>
      </c>
      <c r="BW210" s="168" t="s">
        <v>2498</v>
      </c>
      <c r="BX210" s="437">
        <v>4.5</v>
      </c>
      <c r="BY210" s="171" t="s">
        <v>2499</v>
      </c>
      <c r="BZ210" s="432" t="s">
        <v>546</v>
      </c>
      <c r="CA210" s="168"/>
      <c r="CB210" s="167" t="s">
        <v>834</v>
      </c>
      <c r="CC210" s="168" t="s">
        <v>2500</v>
      </c>
      <c r="CD210" s="173">
        <v>7</v>
      </c>
      <c r="CE210" s="171"/>
      <c r="CF210" s="167" t="s">
        <v>834</v>
      </c>
      <c r="CG210" s="175"/>
      <c r="CH210" s="167">
        <v>4.5</v>
      </c>
      <c r="CI210" s="168" t="s">
        <v>546</v>
      </c>
      <c r="CJ210" s="167" t="s">
        <v>834</v>
      </c>
      <c r="CK210" s="168"/>
      <c r="CL210" s="385" t="s">
        <v>834</v>
      </c>
      <c r="CM210" s="168"/>
      <c r="CN210" s="385" t="s">
        <v>834</v>
      </c>
      <c r="CO210" s="168"/>
      <c r="CP210" s="167" t="s">
        <v>834</v>
      </c>
      <c r="CQ210" s="168"/>
      <c r="CR210" s="489" t="s">
        <v>834</v>
      </c>
      <c r="CS210" s="427"/>
      <c r="CT210" s="164">
        <v>1.9259999999999999</v>
      </c>
      <c r="CU210" s="168" t="s">
        <v>1106</v>
      </c>
      <c r="CV210" s="432">
        <v>6</v>
      </c>
      <c r="CW210" s="168"/>
      <c r="CX210" s="168">
        <v>5</v>
      </c>
      <c r="CY210" s="168" t="s">
        <v>2501</v>
      </c>
      <c r="CZ210" s="173">
        <v>4</v>
      </c>
      <c r="DA210" s="171" t="s">
        <v>2502</v>
      </c>
      <c r="DB210" s="371" t="s">
        <v>546</v>
      </c>
      <c r="DC210" s="371">
        <f t="shared" si="20"/>
        <v>17</v>
      </c>
      <c r="DD210" s="371"/>
      <c r="DE210" s="371"/>
      <c r="DF210" s="371"/>
      <c r="DG210" s="371"/>
      <c r="DH210" s="371"/>
      <c r="DI210" s="371"/>
      <c r="DJ210" s="371"/>
      <c r="DK210" s="371"/>
      <c r="DL210" s="371"/>
      <c r="DM210" s="371"/>
      <c r="DN210" s="371"/>
      <c r="DO210" s="371"/>
      <c r="DP210" s="371"/>
      <c r="DQ210" s="371"/>
      <c r="DR210" s="371"/>
    </row>
    <row r="211" spans="1:122" ht="18.75" x14ac:dyDescent="0.3">
      <c r="A211" s="325">
        <v>532411</v>
      </c>
      <c r="B211" s="326">
        <v>161</v>
      </c>
      <c r="C211" s="327" t="s">
        <v>2503</v>
      </c>
      <c r="D211" s="424">
        <v>1.5</v>
      </c>
      <c r="E211" s="328" t="s">
        <v>2423</v>
      </c>
      <c r="F211" s="173" t="s">
        <v>546</v>
      </c>
      <c r="G211" s="171"/>
      <c r="H211" s="373">
        <v>7.5</v>
      </c>
      <c r="I211" s="427" t="s">
        <v>2440</v>
      </c>
      <c r="J211" s="173">
        <v>5.6</v>
      </c>
      <c r="K211" s="371" t="s">
        <v>2400</v>
      </c>
      <c r="L211" s="426">
        <v>7.25</v>
      </c>
      <c r="M211" s="427" t="s">
        <v>2504</v>
      </c>
      <c r="N211" s="173">
        <v>2.9</v>
      </c>
      <c r="O211" s="171" t="s">
        <v>2402</v>
      </c>
      <c r="P211" s="445">
        <v>6.35</v>
      </c>
      <c r="Q211" s="427"/>
      <c r="R211" s="457">
        <v>0.29870000000000002</v>
      </c>
      <c r="S211" s="168" t="s">
        <v>2340</v>
      </c>
      <c r="T211" s="428">
        <v>5.75</v>
      </c>
      <c r="U211" s="376" t="s">
        <v>2505</v>
      </c>
      <c r="V211" s="441">
        <v>6</v>
      </c>
      <c r="W211" s="377"/>
      <c r="X211" s="167">
        <v>4</v>
      </c>
      <c r="Y211" s="444"/>
      <c r="Z211" s="167">
        <v>4</v>
      </c>
      <c r="AA211" s="444"/>
      <c r="AB211" s="167">
        <v>6</v>
      </c>
      <c r="AC211" s="444"/>
      <c r="AD211" s="430">
        <v>6.25</v>
      </c>
      <c r="AE211" s="447"/>
      <c r="AF211" s="173">
        <v>7</v>
      </c>
      <c r="AG211" s="171"/>
      <c r="AH211" s="373">
        <v>6</v>
      </c>
      <c r="AI211" s="589" t="s">
        <v>2506</v>
      </c>
      <c r="AJ211" s="373">
        <v>6.5</v>
      </c>
      <c r="AK211" s="431" t="s">
        <v>863</v>
      </c>
      <c r="AL211" s="167">
        <v>6</v>
      </c>
      <c r="AM211" s="168" t="s">
        <v>2507</v>
      </c>
      <c r="AN211" s="173">
        <v>5</v>
      </c>
      <c r="AO211" s="171"/>
      <c r="AP211" s="432" t="s">
        <v>834</v>
      </c>
      <c r="AQ211" s="168"/>
      <c r="AR211" s="173">
        <v>6</v>
      </c>
      <c r="AS211" s="171"/>
      <c r="AT211" s="173" t="s">
        <v>834</v>
      </c>
      <c r="AU211" s="171"/>
      <c r="AV211" s="381">
        <v>6</v>
      </c>
      <c r="AW211" s="168" t="s">
        <v>1628</v>
      </c>
      <c r="AX211" s="443">
        <v>6.875</v>
      </c>
      <c r="AY211" s="427"/>
      <c r="AZ211" s="167">
        <v>3</v>
      </c>
      <c r="BA211" s="427"/>
      <c r="BB211" s="164">
        <v>4.2249999999999996</v>
      </c>
      <c r="BC211" s="168" t="s">
        <v>2406</v>
      </c>
      <c r="BD211" s="591" t="s">
        <v>546</v>
      </c>
      <c r="BE211" s="427"/>
      <c r="BF211" s="384">
        <v>5.5</v>
      </c>
      <c r="BG211" s="168"/>
      <c r="BH211" s="442">
        <v>6.85</v>
      </c>
      <c r="BI211" s="427" t="s">
        <v>1631</v>
      </c>
      <c r="BJ211" s="167" t="s">
        <v>546</v>
      </c>
      <c r="BK211" s="167"/>
      <c r="BL211" s="167">
        <v>6.875</v>
      </c>
      <c r="BM211" s="168"/>
      <c r="BN211" s="173">
        <v>5.125</v>
      </c>
      <c r="BO211" s="171"/>
      <c r="BP211" s="466" t="s">
        <v>834</v>
      </c>
      <c r="BQ211" s="436"/>
      <c r="BR211" s="385">
        <v>4.75</v>
      </c>
      <c r="BS211" s="168" t="s">
        <v>2508</v>
      </c>
      <c r="BT211" s="373" t="s">
        <v>834</v>
      </c>
      <c r="BU211" s="168" t="s">
        <v>2509</v>
      </c>
      <c r="BV211" s="441">
        <v>5.75</v>
      </c>
      <c r="BW211" s="168"/>
      <c r="BX211" s="437" t="s">
        <v>834</v>
      </c>
      <c r="BY211" s="171"/>
      <c r="BZ211" s="432"/>
      <c r="CA211" s="168"/>
      <c r="CB211" s="167">
        <v>6</v>
      </c>
      <c r="CC211" s="168" t="s">
        <v>2510</v>
      </c>
      <c r="CD211" s="173" t="s">
        <v>834</v>
      </c>
      <c r="CE211" s="171"/>
      <c r="CF211" s="167">
        <v>6</v>
      </c>
      <c r="CG211" s="175" t="s">
        <v>2435</v>
      </c>
      <c r="CH211" s="167" t="s">
        <v>834</v>
      </c>
      <c r="CI211" s="168"/>
      <c r="CJ211" s="167">
        <v>7</v>
      </c>
      <c r="CK211" s="168"/>
      <c r="CL211" s="385">
        <v>6.25</v>
      </c>
      <c r="CM211" s="168"/>
      <c r="CN211" s="385">
        <v>4.7</v>
      </c>
      <c r="CO211" s="168"/>
      <c r="CP211" s="167">
        <v>6</v>
      </c>
      <c r="CQ211" s="168"/>
      <c r="CR211" s="489" t="s">
        <v>834</v>
      </c>
      <c r="CS211" s="427" t="s">
        <v>2511</v>
      </c>
      <c r="CT211" s="432">
        <v>6.5</v>
      </c>
      <c r="CU211" s="168" t="s">
        <v>938</v>
      </c>
      <c r="CV211" s="432">
        <v>6</v>
      </c>
      <c r="CW211" s="168"/>
      <c r="CX211" s="168">
        <v>5</v>
      </c>
      <c r="CY211" s="168"/>
      <c r="CZ211" s="173">
        <v>4</v>
      </c>
      <c r="DA211" s="171" t="s">
        <v>2414</v>
      </c>
      <c r="DB211" s="371" t="s">
        <v>546</v>
      </c>
      <c r="DC211" s="371">
        <f t="shared" si="20"/>
        <v>39</v>
      </c>
      <c r="DD211" s="371"/>
      <c r="DE211" s="371"/>
      <c r="DF211" s="371"/>
      <c r="DG211" s="371"/>
      <c r="DH211" s="371"/>
      <c r="DI211" s="371"/>
      <c r="DJ211" s="371"/>
      <c r="DK211" s="371"/>
      <c r="DL211" s="371"/>
      <c r="DM211" s="371"/>
      <c r="DN211" s="371"/>
      <c r="DO211" s="371"/>
      <c r="DP211" s="371"/>
      <c r="DQ211" s="371"/>
      <c r="DR211" s="371"/>
    </row>
    <row r="212" spans="1:122" ht="18.75" x14ac:dyDescent="0.3">
      <c r="A212" s="325">
        <v>532411</v>
      </c>
      <c r="B212" s="326">
        <v>162</v>
      </c>
      <c r="C212" s="327" t="s">
        <v>2512</v>
      </c>
      <c r="D212" s="424">
        <v>1.5</v>
      </c>
      <c r="E212" s="328" t="s">
        <v>2423</v>
      </c>
      <c r="F212" s="173" t="s">
        <v>546</v>
      </c>
      <c r="G212" s="171"/>
      <c r="H212" s="373">
        <v>6.5</v>
      </c>
      <c r="I212" s="427" t="s">
        <v>2416</v>
      </c>
      <c r="J212" s="173">
        <v>5.6</v>
      </c>
      <c r="K212" s="371" t="s">
        <v>2400</v>
      </c>
      <c r="L212" s="426">
        <v>7.25</v>
      </c>
      <c r="M212" s="427" t="s">
        <v>2513</v>
      </c>
      <c r="N212" s="173">
        <v>2.9</v>
      </c>
      <c r="O212" s="171" t="s">
        <v>2402</v>
      </c>
      <c r="P212" s="445">
        <v>6.35</v>
      </c>
      <c r="Q212" s="427"/>
      <c r="R212" s="457">
        <v>0.29870000000000002</v>
      </c>
      <c r="S212" s="168" t="s">
        <v>2340</v>
      </c>
      <c r="T212" s="428">
        <v>5.75</v>
      </c>
      <c r="U212" s="376" t="s">
        <v>2505</v>
      </c>
      <c r="V212" s="441">
        <v>6</v>
      </c>
      <c r="W212" s="377"/>
      <c r="X212" s="167">
        <v>4</v>
      </c>
      <c r="Y212" s="444"/>
      <c r="Z212" s="167">
        <v>4</v>
      </c>
      <c r="AA212" s="444"/>
      <c r="AB212" s="167">
        <v>6</v>
      </c>
      <c r="AC212" s="444"/>
      <c r="AD212" s="430">
        <v>6.25</v>
      </c>
      <c r="AE212" s="447"/>
      <c r="AF212" s="173">
        <v>7</v>
      </c>
      <c r="AG212" s="171"/>
      <c r="AH212" s="489">
        <v>6</v>
      </c>
      <c r="AI212" s="589" t="s">
        <v>2506</v>
      </c>
      <c r="AJ212" s="373">
        <v>6.5</v>
      </c>
      <c r="AK212" s="431" t="s">
        <v>863</v>
      </c>
      <c r="AL212" s="167">
        <v>6</v>
      </c>
      <c r="AM212" s="168" t="s">
        <v>1353</v>
      </c>
      <c r="AN212" s="173">
        <v>5</v>
      </c>
      <c r="AO212" s="171"/>
      <c r="AP212" s="432" t="s">
        <v>834</v>
      </c>
      <c r="AQ212" s="168"/>
      <c r="AR212" s="173">
        <v>6</v>
      </c>
      <c r="AS212" s="171" t="s">
        <v>2514</v>
      </c>
      <c r="AT212" s="173" t="s">
        <v>834</v>
      </c>
      <c r="AU212" s="171"/>
      <c r="AV212" s="381">
        <v>6</v>
      </c>
      <c r="AW212" s="168" t="s">
        <v>1628</v>
      </c>
      <c r="AX212" s="443">
        <v>6.875</v>
      </c>
      <c r="AY212" s="427"/>
      <c r="AZ212" s="167">
        <v>3</v>
      </c>
      <c r="BA212" s="427"/>
      <c r="BB212" s="164">
        <v>4.2249999999999996</v>
      </c>
      <c r="BC212" s="168" t="s">
        <v>2406</v>
      </c>
      <c r="BD212" s="591" t="s">
        <v>546</v>
      </c>
      <c r="BE212" s="427"/>
      <c r="BF212" s="384">
        <v>5.5</v>
      </c>
      <c r="BG212" s="168"/>
      <c r="BH212" s="442">
        <v>6.85</v>
      </c>
      <c r="BI212" s="427" t="s">
        <v>1631</v>
      </c>
      <c r="BJ212" s="167" t="s">
        <v>546</v>
      </c>
      <c r="BK212" s="167"/>
      <c r="BL212" s="167">
        <v>6.875</v>
      </c>
      <c r="BM212" s="168"/>
      <c r="BN212" s="173">
        <v>5.125</v>
      </c>
      <c r="BO212" s="171"/>
      <c r="BP212" s="466" t="s">
        <v>834</v>
      </c>
      <c r="BQ212" s="436"/>
      <c r="BR212" s="385">
        <v>4.75</v>
      </c>
      <c r="BS212" s="168" t="s">
        <v>2515</v>
      </c>
      <c r="BT212" s="373" t="s">
        <v>834</v>
      </c>
      <c r="BU212" s="168" t="s">
        <v>2509</v>
      </c>
      <c r="BV212" s="441">
        <v>5.75</v>
      </c>
      <c r="BW212" s="168"/>
      <c r="BX212" s="437" t="s">
        <v>834</v>
      </c>
      <c r="BY212" s="171"/>
      <c r="BZ212" s="432"/>
      <c r="CA212" s="168"/>
      <c r="CB212" s="167">
        <v>6</v>
      </c>
      <c r="CC212" s="168" t="s">
        <v>2510</v>
      </c>
      <c r="CD212" s="173" t="s">
        <v>834</v>
      </c>
      <c r="CE212" s="171"/>
      <c r="CF212" s="167">
        <v>6</v>
      </c>
      <c r="CG212" s="175" t="s">
        <v>2435</v>
      </c>
      <c r="CH212" s="167" t="s">
        <v>834</v>
      </c>
      <c r="CI212" s="168"/>
      <c r="CJ212" s="167">
        <v>7</v>
      </c>
      <c r="CK212" s="168"/>
      <c r="CL212" s="385">
        <v>6.25</v>
      </c>
      <c r="CM212" s="168"/>
      <c r="CN212" s="385">
        <v>4.7</v>
      </c>
      <c r="CO212" s="168"/>
      <c r="CP212" s="167">
        <v>6</v>
      </c>
      <c r="CQ212" s="168"/>
      <c r="CR212" s="489" t="s">
        <v>834</v>
      </c>
      <c r="CS212" s="427" t="s">
        <v>2516</v>
      </c>
      <c r="CT212" s="432">
        <v>6.5</v>
      </c>
      <c r="CU212" s="168" t="s">
        <v>938</v>
      </c>
      <c r="CV212" s="432">
        <v>6</v>
      </c>
      <c r="CW212" s="168"/>
      <c r="CX212" s="168">
        <v>5</v>
      </c>
      <c r="CY212" s="168"/>
      <c r="CZ212" s="173">
        <v>4</v>
      </c>
      <c r="DA212" s="171" t="s">
        <v>2414</v>
      </c>
      <c r="DB212" s="371" t="s">
        <v>546</v>
      </c>
      <c r="DC212" s="371">
        <f t="shared" si="20"/>
        <v>39</v>
      </c>
      <c r="DD212" s="371"/>
      <c r="DE212" s="371"/>
      <c r="DF212" s="371"/>
      <c r="DG212" s="371"/>
      <c r="DH212" s="371"/>
      <c r="DI212" s="371"/>
      <c r="DJ212" s="371"/>
      <c r="DK212" s="371"/>
      <c r="DL212" s="371"/>
      <c r="DM212" s="371"/>
      <c r="DN212" s="371"/>
      <c r="DO212" s="371"/>
      <c r="DP212" s="371"/>
      <c r="DQ212" s="371"/>
      <c r="DR212" s="371"/>
    </row>
    <row r="213" spans="1:122" ht="18.75" x14ac:dyDescent="0.3">
      <c r="A213" s="325">
        <v>48121</v>
      </c>
      <c r="B213" s="326">
        <v>163</v>
      </c>
      <c r="C213" s="327" t="s">
        <v>2517</v>
      </c>
      <c r="D213" s="424" t="s">
        <v>834</v>
      </c>
      <c r="E213" s="440" t="s">
        <v>546</v>
      </c>
      <c r="F213" s="173" t="s">
        <v>546</v>
      </c>
      <c r="G213" s="171"/>
      <c r="H213" s="373" t="s">
        <v>834</v>
      </c>
      <c r="I213" s="175"/>
      <c r="J213" s="173" t="s">
        <v>834</v>
      </c>
      <c r="K213" s="371"/>
      <c r="L213" s="426" t="s">
        <v>834</v>
      </c>
      <c r="M213" s="427" t="s">
        <v>2518</v>
      </c>
      <c r="N213" s="173" t="s">
        <v>834</v>
      </c>
      <c r="O213" s="171"/>
      <c r="P213" s="445">
        <v>6.35</v>
      </c>
      <c r="Q213" s="427" t="s">
        <v>2519</v>
      </c>
      <c r="R213" s="457">
        <v>0.39800000000000002</v>
      </c>
      <c r="S213" s="168" t="s">
        <v>837</v>
      </c>
      <c r="T213" s="428" t="s">
        <v>834</v>
      </c>
      <c r="U213" s="376" t="s">
        <v>2520</v>
      </c>
      <c r="V213" s="441" t="s">
        <v>834</v>
      </c>
      <c r="W213" s="377"/>
      <c r="X213" s="167">
        <v>4</v>
      </c>
      <c r="Y213" s="444"/>
      <c r="Z213" s="167" t="s">
        <v>834</v>
      </c>
      <c r="AA213" s="444"/>
      <c r="AB213" s="167" t="s">
        <v>834</v>
      </c>
      <c r="AC213" s="444"/>
      <c r="AD213" s="430" t="s">
        <v>834</v>
      </c>
      <c r="AE213" s="447"/>
      <c r="AF213" s="173" t="s">
        <v>834</v>
      </c>
      <c r="AG213" s="171"/>
      <c r="AH213" s="373" t="s">
        <v>834</v>
      </c>
      <c r="AI213" s="444"/>
      <c r="AJ213" s="373" t="s">
        <v>834</v>
      </c>
      <c r="AK213" s="431"/>
      <c r="AL213" s="167" t="s">
        <v>834</v>
      </c>
      <c r="AM213" s="168" t="s">
        <v>2521</v>
      </c>
      <c r="AN213" s="173" t="s">
        <v>834</v>
      </c>
      <c r="AO213" s="171"/>
      <c r="AP213" s="432" t="s">
        <v>834</v>
      </c>
      <c r="AQ213" s="168"/>
      <c r="AR213" s="173" t="s">
        <v>834</v>
      </c>
      <c r="AS213" s="171"/>
      <c r="AT213" s="173" t="s">
        <v>834</v>
      </c>
      <c r="AU213" s="171"/>
      <c r="AV213" s="381" t="s">
        <v>834</v>
      </c>
      <c r="AW213" s="168" t="s">
        <v>2522</v>
      </c>
      <c r="AX213" s="443" t="s">
        <v>834</v>
      </c>
      <c r="AY213" s="427"/>
      <c r="AZ213" s="167" t="s">
        <v>834</v>
      </c>
      <c r="BA213" s="427"/>
      <c r="BB213" s="164" t="s">
        <v>834</v>
      </c>
      <c r="BC213" s="168" t="s">
        <v>546</v>
      </c>
      <c r="BD213" s="591" t="s">
        <v>546</v>
      </c>
      <c r="BE213" s="427"/>
      <c r="BF213" s="384" t="s">
        <v>834</v>
      </c>
      <c r="BG213" s="168"/>
      <c r="BH213" s="442" t="s">
        <v>834</v>
      </c>
      <c r="BI213" s="427"/>
      <c r="BJ213" s="167" t="s">
        <v>546</v>
      </c>
      <c r="BK213" s="167"/>
      <c r="BL213" s="167" t="s">
        <v>834</v>
      </c>
      <c r="BM213" s="168"/>
      <c r="BN213" s="173">
        <v>5.125</v>
      </c>
      <c r="BO213" s="171"/>
      <c r="BP213" s="435" t="s">
        <v>834</v>
      </c>
      <c r="BQ213" s="592"/>
      <c r="BR213" s="167" t="s">
        <v>834</v>
      </c>
      <c r="BS213" s="168"/>
      <c r="BT213" s="167" t="s">
        <v>834</v>
      </c>
      <c r="BU213" s="168"/>
      <c r="BV213" s="441">
        <v>5.75</v>
      </c>
      <c r="BW213" s="168" t="s">
        <v>2523</v>
      </c>
      <c r="BX213" s="437" t="s">
        <v>834</v>
      </c>
      <c r="BY213" s="171"/>
      <c r="BZ213" s="432"/>
      <c r="CA213" s="168"/>
      <c r="CB213" s="167" t="s">
        <v>834</v>
      </c>
      <c r="CC213" s="168" t="s">
        <v>2524</v>
      </c>
      <c r="CD213" s="173" t="s">
        <v>834</v>
      </c>
      <c r="CE213" s="171"/>
      <c r="CF213" s="373" t="s">
        <v>834</v>
      </c>
      <c r="CG213" s="175"/>
      <c r="CH213" s="167">
        <v>4.5</v>
      </c>
      <c r="CI213" s="168" t="s">
        <v>2525</v>
      </c>
      <c r="CJ213" s="167" t="s">
        <v>834</v>
      </c>
      <c r="CK213" s="168"/>
      <c r="CL213" s="385" t="s">
        <v>834</v>
      </c>
      <c r="CM213" s="168"/>
      <c r="CN213" s="385" t="s">
        <v>834</v>
      </c>
      <c r="CO213" s="168"/>
      <c r="CP213" s="167" t="s">
        <v>834</v>
      </c>
      <c r="CQ213" s="168"/>
      <c r="CR213" s="489" t="s">
        <v>834</v>
      </c>
      <c r="CS213" s="427" t="s">
        <v>2526</v>
      </c>
      <c r="CT213" s="432" t="s">
        <v>834</v>
      </c>
      <c r="CU213" s="168" t="s">
        <v>2527</v>
      </c>
      <c r="CV213" s="432" t="s">
        <v>834</v>
      </c>
      <c r="CW213" s="168" t="s">
        <v>2528</v>
      </c>
      <c r="CX213" s="168" t="s">
        <v>834</v>
      </c>
      <c r="CY213" s="593"/>
      <c r="CZ213" s="173">
        <v>4</v>
      </c>
      <c r="DA213" s="171" t="s">
        <v>2502</v>
      </c>
      <c r="DB213" s="371" t="s">
        <v>546</v>
      </c>
      <c r="DC213" s="371">
        <f t="shared" si="20"/>
        <v>7</v>
      </c>
      <c r="DD213" s="371"/>
      <c r="DE213" s="371"/>
      <c r="DF213" s="371"/>
      <c r="DG213" s="371"/>
      <c r="DH213" s="371"/>
      <c r="DI213" s="371"/>
      <c r="DJ213" s="371"/>
      <c r="DK213" s="371"/>
      <c r="DL213" s="371"/>
      <c r="DM213" s="371"/>
      <c r="DN213" s="371"/>
      <c r="DO213" s="371"/>
      <c r="DP213" s="371"/>
      <c r="DQ213" s="371"/>
      <c r="DR213" s="371"/>
    </row>
    <row r="214" spans="1:122" ht="18.75" x14ac:dyDescent="0.3">
      <c r="A214" s="325" t="s">
        <v>2529</v>
      </c>
      <c r="B214" s="326">
        <v>164</v>
      </c>
      <c r="C214" s="327" t="s">
        <v>2530</v>
      </c>
      <c r="D214" s="562">
        <v>4</v>
      </c>
      <c r="E214" s="328" t="s">
        <v>2531</v>
      </c>
      <c r="F214" s="173" t="s">
        <v>995</v>
      </c>
      <c r="G214" s="370" t="s">
        <v>2532</v>
      </c>
      <c r="H214" s="373">
        <v>8.5</v>
      </c>
      <c r="I214" s="427" t="s">
        <v>2533</v>
      </c>
      <c r="J214" s="173">
        <v>5.5</v>
      </c>
      <c r="K214" s="371" t="s">
        <v>2534</v>
      </c>
      <c r="L214" s="426" t="s">
        <v>995</v>
      </c>
      <c r="M214" s="427" t="s">
        <v>2535</v>
      </c>
      <c r="N214" s="173">
        <v>2.9</v>
      </c>
      <c r="O214" s="171"/>
      <c r="P214" s="474">
        <v>15</v>
      </c>
      <c r="Q214" s="427" t="s">
        <v>2536</v>
      </c>
      <c r="R214" s="457">
        <v>8</v>
      </c>
      <c r="S214" s="444" t="s">
        <v>2537</v>
      </c>
      <c r="T214" s="594">
        <v>14.8</v>
      </c>
      <c r="U214" s="376" t="s">
        <v>2538</v>
      </c>
      <c r="V214" s="441">
        <v>6</v>
      </c>
      <c r="W214" s="377" t="s">
        <v>2539</v>
      </c>
      <c r="X214" s="167">
        <v>4</v>
      </c>
      <c r="Y214" s="168" t="s">
        <v>2540</v>
      </c>
      <c r="Z214" s="167">
        <v>4</v>
      </c>
      <c r="AA214" s="168"/>
      <c r="AB214" s="167">
        <v>6</v>
      </c>
      <c r="AC214" s="168" t="s">
        <v>2541</v>
      </c>
      <c r="AD214" s="430">
        <v>6</v>
      </c>
      <c r="AE214" s="168"/>
      <c r="AF214" s="173">
        <v>7</v>
      </c>
      <c r="AG214" s="171" t="s">
        <v>2542</v>
      </c>
      <c r="AH214" s="489" t="s">
        <v>995</v>
      </c>
      <c r="AI214" s="453" t="s">
        <v>2543</v>
      </c>
      <c r="AJ214" s="373">
        <v>6.5</v>
      </c>
      <c r="AK214" s="431" t="s">
        <v>863</v>
      </c>
      <c r="AL214" s="167" t="s">
        <v>995</v>
      </c>
      <c r="AM214" s="168" t="s">
        <v>2544</v>
      </c>
      <c r="AN214" s="173">
        <v>5</v>
      </c>
      <c r="AO214" s="171" t="s">
        <v>2545</v>
      </c>
      <c r="AP214" s="432">
        <v>9</v>
      </c>
      <c r="AQ214" s="168" t="s">
        <v>2546</v>
      </c>
      <c r="AR214" s="173">
        <v>6</v>
      </c>
      <c r="AS214" s="171" t="s">
        <v>2547</v>
      </c>
      <c r="AT214" s="173">
        <v>5.7</v>
      </c>
      <c r="AU214" s="171" t="s">
        <v>2548</v>
      </c>
      <c r="AV214" s="458">
        <v>6</v>
      </c>
      <c r="AW214" s="168" t="s">
        <v>2549</v>
      </c>
      <c r="AX214" s="443">
        <v>6.875</v>
      </c>
      <c r="AY214" s="427" t="s">
        <v>2550</v>
      </c>
      <c r="AZ214" s="167">
        <v>7</v>
      </c>
      <c r="BA214" s="427" t="s">
        <v>2551</v>
      </c>
      <c r="BB214" s="164">
        <v>4.2249999999999996</v>
      </c>
      <c r="BC214" s="168" t="s">
        <v>2406</v>
      </c>
      <c r="BD214" s="459">
        <v>7.0000000000000007E-2</v>
      </c>
      <c r="BE214" s="427" t="s">
        <v>2552</v>
      </c>
      <c r="BF214" s="382">
        <v>5.5</v>
      </c>
      <c r="BG214" s="168" t="s">
        <v>2553</v>
      </c>
      <c r="BH214" s="442" t="s">
        <v>995</v>
      </c>
      <c r="BI214" s="427" t="s">
        <v>2554</v>
      </c>
      <c r="BJ214" s="167">
        <v>9</v>
      </c>
      <c r="BK214" s="168" t="s">
        <v>2458</v>
      </c>
      <c r="BL214" s="167">
        <v>6.875</v>
      </c>
      <c r="BM214" s="168" t="s">
        <v>2555</v>
      </c>
      <c r="BN214" s="173">
        <v>5.125</v>
      </c>
      <c r="BO214" s="171" t="s">
        <v>2556</v>
      </c>
      <c r="BP214" s="435">
        <v>4</v>
      </c>
      <c r="BQ214" s="436" t="s">
        <v>546</v>
      </c>
      <c r="BR214" s="385">
        <v>4.75</v>
      </c>
      <c r="BS214" s="168" t="s">
        <v>2557</v>
      </c>
      <c r="BT214" s="167">
        <v>5</v>
      </c>
      <c r="BU214" s="476" t="s">
        <v>2558</v>
      </c>
      <c r="BV214" s="441">
        <v>5.75</v>
      </c>
      <c r="BW214" s="168" t="s">
        <v>2559</v>
      </c>
      <c r="BX214" s="437">
        <v>4.5</v>
      </c>
      <c r="BY214" s="171" t="s">
        <v>2560</v>
      </c>
      <c r="BZ214" s="442" t="s">
        <v>995</v>
      </c>
      <c r="CA214" s="168" t="s">
        <v>2561</v>
      </c>
      <c r="CB214" s="167">
        <v>6</v>
      </c>
      <c r="CC214" s="168" t="s">
        <v>2562</v>
      </c>
      <c r="CD214" s="173">
        <v>13</v>
      </c>
      <c r="CE214" s="171" t="s">
        <v>2563</v>
      </c>
      <c r="CF214" s="373">
        <v>7</v>
      </c>
      <c r="CG214" s="175" t="s">
        <v>2564</v>
      </c>
      <c r="CH214" s="167">
        <v>4.5</v>
      </c>
      <c r="CI214" s="168" t="s">
        <v>2191</v>
      </c>
      <c r="CJ214" s="167">
        <v>7</v>
      </c>
      <c r="CK214" s="175" t="s">
        <v>2565</v>
      </c>
      <c r="CL214" s="385">
        <v>6</v>
      </c>
      <c r="CM214" s="461" t="s">
        <v>2566</v>
      </c>
      <c r="CN214" s="385">
        <v>4.7</v>
      </c>
      <c r="CO214" s="168" t="s">
        <v>2567</v>
      </c>
      <c r="CP214" s="167">
        <v>9</v>
      </c>
      <c r="CQ214" s="168" t="s">
        <v>2568</v>
      </c>
      <c r="CR214" s="373">
        <v>5.3</v>
      </c>
      <c r="CS214" s="427" t="s">
        <v>2569</v>
      </c>
      <c r="CT214" s="432">
        <v>6.5</v>
      </c>
      <c r="CU214" s="168" t="s">
        <v>2570</v>
      </c>
      <c r="CV214" s="432">
        <v>6</v>
      </c>
      <c r="CW214" s="168" t="s">
        <v>2571</v>
      </c>
      <c r="CX214" s="168">
        <v>5</v>
      </c>
      <c r="CY214" s="168" t="s">
        <v>2572</v>
      </c>
      <c r="CZ214" s="173">
        <v>4</v>
      </c>
      <c r="DA214" s="171" t="s">
        <v>2573</v>
      </c>
      <c r="DB214" s="371" t="s">
        <v>546</v>
      </c>
      <c r="DC214" s="371">
        <f>COUNT(D214:CZ214)+6</f>
        <v>51</v>
      </c>
      <c r="DD214" s="371" t="s">
        <v>2574</v>
      </c>
      <c r="DE214" s="371"/>
      <c r="DF214" s="371"/>
      <c r="DG214" s="371"/>
      <c r="DH214" s="371"/>
      <c r="DI214" s="371"/>
      <c r="DJ214" s="371"/>
      <c r="DK214" s="371"/>
      <c r="DL214" s="371"/>
      <c r="DM214" s="371"/>
      <c r="DN214" s="371"/>
      <c r="DO214" s="371"/>
      <c r="DP214" s="371"/>
      <c r="DQ214" s="371"/>
      <c r="DR214" s="371"/>
    </row>
    <row r="215" spans="1:122" ht="18.75" x14ac:dyDescent="0.3">
      <c r="A215" s="325">
        <v>7212</v>
      </c>
      <c r="B215" s="326">
        <v>165</v>
      </c>
      <c r="C215" s="327" t="s">
        <v>2575</v>
      </c>
      <c r="D215" s="562">
        <v>4</v>
      </c>
      <c r="E215" s="328" t="s">
        <v>2531</v>
      </c>
      <c r="F215" s="173" t="s">
        <v>546</v>
      </c>
      <c r="G215" s="173"/>
      <c r="H215" s="373">
        <v>8.5</v>
      </c>
      <c r="I215" s="427" t="s">
        <v>2533</v>
      </c>
      <c r="J215" s="173">
        <v>5.5</v>
      </c>
      <c r="K215" s="371" t="s">
        <v>2576</v>
      </c>
      <c r="L215" s="426" t="s">
        <v>995</v>
      </c>
      <c r="M215" s="427" t="s">
        <v>2535</v>
      </c>
      <c r="N215" s="173">
        <v>2.9</v>
      </c>
      <c r="O215" s="171"/>
      <c r="P215" s="445">
        <v>6.35</v>
      </c>
      <c r="Q215" s="427" t="s">
        <v>2577</v>
      </c>
      <c r="R215" s="457" t="s">
        <v>834</v>
      </c>
      <c r="S215" s="444" t="s">
        <v>2578</v>
      </c>
      <c r="T215" s="469">
        <v>18</v>
      </c>
      <c r="U215" s="376" t="s">
        <v>2579</v>
      </c>
      <c r="V215" s="441">
        <v>6</v>
      </c>
      <c r="W215" s="377" t="s">
        <v>2539</v>
      </c>
      <c r="X215" s="167" t="s">
        <v>834</v>
      </c>
      <c r="Y215" s="168"/>
      <c r="Z215" s="167">
        <v>4</v>
      </c>
      <c r="AA215" s="168"/>
      <c r="AB215" s="167">
        <v>6</v>
      </c>
      <c r="AC215" s="168" t="s">
        <v>2541</v>
      </c>
      <c r="AD215" s="430" t="s">
        <v>834</v>
      </c>
      <c r="AE215" s="168"/>
      <c r="AF215" s="173">
        <v>7</v>
      </c>
      <c r="AG215" s="171"/>
      <c r="AH215" s="489" t="s">
        <v>995</v>
      </c>
      <c r="AI215" s="168" t="s">
        <v>2580</v>
      </c>
      <c r="AJ215" s="373" t="s">
        <v>834</v>
      </c>
      <c r="AK215" s="431"/>
      <c r="AL215" s="167" t="s">
        <v>834</v>
      </c>
      <c r="AM215" s="168"/>
      <c r="AN215" s="173" t="s">
        <v>834</v>
      </c>
      <c r="AO215" s="171"/>
      <c r="AP215" s="432">
        <v>9</v>
      </c>
      <c r="AQ215" s="168"/>
      <c r="AR215" s="173" t="s">
        <v>834</v>
      </c>
      <c r="AS215" s="171"/>
      <c r="AT215" s="173" t="s">
        <v>834</v>
      </c>
      <c r="AU215" s="171"/>
      <c r="AV215" s="381" t="s">
        <v>834</v>
      </c>
      <c r="AW215" s="168"/>
      <c r="AX215" s="433">
        <v>6.875</v>
      </c>
      <c r="AY215" s="427"/>
      <c r="AZ215" s="167">
        <v>7</v>
      </c>
      <c r="BA215" s="427"/>
      <c r="BB215" s="164" t="s">
        <v>834</v>
      </c>
      <c r="BC215" s="168"/>
      <c r="BD215" s="459">
        <v>7.0000000000000007E-2</v>
      </c>
      <c r="BE215" s="427" t="s">
        <v>2552</v>
      </c>
      <c r="BF215" s="382">
        <v>5.5</v>
      </c>
      <c r="BG215" s="168" t="s">
        <v>2581</v>
      </c>
      <c r="BH215" s="442" t="s">
        <v>995</v>
      </c>
      <c r="BI215" s="427" t="s">
        <v>2554</v>
      </c>
      <c r="BJ215" s="167" t="s">
        <v>546</v>
      </c>
      <c r="BK215" s="168"/>
      <c r="BL215" s="167" t="s">
        <v>834</v>
      </c>
      <c r="BM215" s="168"/>
      <c r="BN215" s="173">
        <v>5.125</v>
      </c>
      <c r="BO215" s="171"/>
      <c r="BP215" s="435" t="s">
        <v>834</v>
      </c>
      <c r="BQ215" s="436"/>
      <c r="BR215" s="167" t="s">
        <v>834</v>
      </c>
      <c r="BS215" s="168" t="s">
        <v>2582</v>
      </c>
      <c r="BT215" s="167">
        <v>5</v>
      </c>
      <c r="BU215" s="476"/>
      <c r="BV215" s="373" t="s">
        <v>834</v>
      </c>
      <c r="BW215" s="168"/>
      <c r="BX215" s="437" t="s">
        <v>834</v>
      </c>
      <c r="BY215" s="171"/>
      <c r="BZ215" s="432"/>
      <c r="CA215" s="168"/>
      <c r="CB215" s="167" t="s">
        <v>834</v>
      </c>
      <c r="CC215" s="168" t="s">
        <v>2583</v>
      </c>
      <c r="CD215" s="173" t="s">
        <v>834</v>
      </c>
      <c r="CE215" s="171"/>
      <c r="CF215" s="167">
        <v>7</v>
      </c>
      <c r="CG215" s="175" t="s">
        <v>2584</v>
      </c>
      <c r="CH215" s="167">
        <v>4.5</v>
      </c>
      <c r="CI215" s="168" t="s">
        <v>2191</v>
      </c>
      <c r="CJ215" s="167">
        <v>7</v>
      </c>
      <c r="CK215" s="168" t="s">
        <v>2565</v>
      </c>
      <c r="CL215" s="385" t="s">
        <v>834</v>
      </c>
      <c r="CM215" s="168"/>
      <c r="CN215" s="385">
        <v>4.7</v>
      </c>
      <c r="CO215" s="168" t="s">
        <v>2567</v>
      </c>
      <c r="CP215" s="167" t="s">
        <v>834</v>
      </c>
      <c r="CQ215" s="168"/>
      <c r="CR215" s="373">
        <v>5.3</v>
      </c>
      <c r="CS215" s="427" t="s">
        <v>2569</v>
      </c>
      <c r="CT215" s="432">
        <v>6.5</v>
      </c>
      <c r="CU215" s="168" t="s">
        <v>2570</v>
      </c>
      <c r="CV215" s="432">
        <v>6</v>
      </c>
      <c r="CW215" s="168"/>
      <c r="CX215" s="168">
        <v>5</v>
      </c>
      <c r="CY215" s="168"/>
      <c r="CZ215" s="173">
        <v>4</v>
      </c>
      <c r="DA215" s="171" t="s">
        <v>2573</v>
      </c>
      <c r="DB215" s="371" t="s">
        <v>546</v>
      </c>
      <c r="DC215" s="371">
        <f>COUNT(D215:CZ215)+3</f>
        <v>29</v>
      </c>
      <c r="DD215" s="371"/>
      <c r="DE215" s="371"/>
      <c r="DF215" s="371"/>
      <c r="DG215" s="371"/>
      <c r="DH215" s="371"/>
      <c r="DI215" s="371"/>
      <c r="DJ215" s="371"/>
      <c r="DK215" s="371"/>
      <c r="DL215" s="371"/>
      <c r="DM215" s="371"/>
      <c r="DN215" s="371"/>
      <c r="DO215" s="371"/>
      <c r="DP215" s="371"/>
      <c r="DQ215" s="371"/>
      <c r="DR215" s="371"/>
    </row>
    <row r="216" spans="1:122" ht="18.75" x14ac:dyDescent="0.3">
      <c r="A216" s="325"/>
      <c r="B216" s="268"/>
      <c r="C216" s="268"/>
      <c r="D216" s="424"/>
      <c r="E216" s="446"/>
      <c r="F216" s="173"/>
      <c r="G216" s="171"/>
      <c r="H216" s="373"/>
      <c r="I216" s="175"/>
      <c r="J216" s="173"/>
      <c r="K216" s="371"/>
      <c r="L216" s="426"/>
      <c r="M216" s="175"/>
      <c r="N216" s="173"/>
      <c r="O216" s="171"/>
      <c r="P216" s="385"/>
      <c r="Q216" s="175"/>
      <c r="R216" s="374"/>
      <c r="S216" s="444"/>
      <c r="T216" s="428"/>
      <c r="U216" s="463"/>
      <c r="V216" s="429"/>
      <c r="W216" s="377"/>
      <c r="X216" s="167"/>
      <c r="Y216" s="444"/>
      <c r="Z216" s="167"/>
      <c r="AA216" s="444"/>
      <c r="AB216" s="167"/>
      <c r="AC216" s="444"/>
      <c r="AD216" s="430" t="s">
        <v>546</v>
      </c>
      <c r="AE216" s="447"/>
      <c r="AF216" s="173"/>
      <c r="AG216" s="171"/>
      <c r="AH216" s="167"/>
      <c r="AI216" s="444"/>
      <c r="AJ216" s="373"/>
      <c r="AK216" s="431"/>
      <c r="AL216" s="167"/>
      <c r="AM216" s="444"/>
      <c r="AN216" s="173"/>
      <c r="AO216" s="171"/>
      <c r="AP216" s="432"/>
      <c r="AQ216" s="444"/>
      <c r="AR216" s="173"/>
      <c r="AS216" s="171"/>
      <c r="AT216" s="173"/>
      <c r="AU216" s="171"/>
      <c r="AV216" s="595"/>
      <c r="AW216" s="589"/>
      <c r="AX216" s="433"/>
      <c r="AY216" s="175"/>
      <c r="AZ216" s="167"/>
      <c r="BA216" s="427"/>
      <c r="BB216" s="164"/>
      <c r="BC216" s="444"/>
      <c r="BD216" s="432"/>
      <c r="BE216" s="427"/>
      <c r="BF216" s="384"/>
      <c r="BG216" s="168"/>
      <c r="BH216" s="432"/>
      <c r="BI216" s="175"/>
      <c r="BJ216" s="167"/>
      <c r="BK216" s="444"/>
      <c r="BL216" s="167"/>
      <c r="BM216" s="444"/>
      <c r="BN216" s="173"/>
      <c r="BO216" s="171"/>
      <c r="BP216" s="435"/>
      <c r="BQ216" s="436"/>
      <c r="BR216" s="167"/>
      <c r="BS216" s="444"/>
      <c r="BT216" s="167"/>
      <c r="BU216" s="444"/>
      <c r="BV216" s="167"/>
      <c r="BW216" s="444"/>
      <c r="BX216" s="437"/>
      <c r="BY216" s="171"/>
      <c r="BZ216" s="432"/>
      <c r="CA216" s="168"/>
      <c r="CB216" s="167"/>
      <c r="CC216" s="444"/>
      <c r="CD216" s="173"/>
      <c r="CE216" s="171"/>
      <c r="CF216" s="167"/>
      <c r="CG216" s="175"/>
      <c r="CH216" s="167"/>
      <c r="CI216" s="168"/>
      <c r="CJ216" s="167"/>
      <c r="CK216" s="444"/>
      <c r="CL216" s="385"/>
      <c r="CM216" s="444"/>
      <c r="CN216" s="385"/>
      <c r="CO216" s="168"/>
      <c r="CP216" s="167"/>
      <c r="CQ216" s="444"/>
      <c r="CR216" s="373"/>
      <c r="CS216" s="175"/>
      <c r="CT216" s="432"/>
      <c r="CU216" s="168"/>
      <c r="CV216" s="432"/>
      <c r="CW216" s="168"/>
      <c r="CX216" s="168"/>
      <c r="CY216" s="168"/>
      <c r="CZ216" s="173"/>
      <c r="DA216" s="171"/>
      <c r="DB216" s="371"/>
      <c r="DC216" s="371"/>
      <c r="DD216" s="371"/>
      <c r="DE216" s="371"/>
      <c r="DF216" s="371"/>
      <c r="DG216" s="371"/>
      <c r="DH216" s="371"/>
      <c r="DI216" s="371"/>
      <c r="DJ216" s="371"/>
      <c r="DK216" s="371"/>
      <c r="DL216" s="371"/>
      <c r="DM216" s="371"/>
      <c r="DN216" s="371"/>
      <c r="DO216" s="371"/>
      <c r="DP216" s="371"/>
      <c r="DQ216" s="371"/>
      <c r="DR216" s="371"/>
    </row>
    <row r="217" spans="1:122" ht="18.75" x14ac:dyDescent="0.3">
      <c r="A217" s="389"/>
      <c r="B217" s="448"/>
      <c r="C217" s="391" t="s">
        <v>2585</v>
      </c>
      <c r="D217" s="392" t="s">
        <v>832</v>
      </c>
      <c r="E217" s="393"/>
      <c r="F217" s="394" t="s">
        <v>832</v>
      </c>
      <c r="G217" s="394"/>
      <c r="H217" s="596" t="s">
        <v>832</v>
      </c>
      <c r="I217" s="401"/>
      <c r="J217" s="438" t="s">
        <v>832</v>
      </c>
      <c r="K217" s="397"/>
      <c r="L217" s="438" t="s">
        <v>832</v>
      </c>
      <c r="M217" s="401"/>
      <c r="N217" s="400" t="s">
        <v>832</v>
      </c>
      <c r="O217" s="172"/>
      <c r="P217" s="400" t="s">
        <v>832</v>
      </c>
      <c r="Q217" s="401"/>
      <c r="R217" s="400" t="s">
        <v>832</v>
      </c>
      <c r="S217" s="170"/>
      <c r="T217" s="400" t="s">
        <v>832</v>
      </c>
      <c r="U217" s="404"/>
      <c r="V217" s="400" t="s">
        <v>832</v>
      </c>
      <c r="W217" s="406"/>
      <c r="X217" s="400" t="s">
        <v>832</v>
      </c>
      <c r="Y217" s="170"/>
      <c r="Z217" s="400" t="s">
        <v>832</v>
      </c>
      <c r="AA217" s="170"/>
      <c r="AB217" s="400" t="s">
        <v>832</v>
      </c>
      <c r="AC217" s="170"/>
      <c r="AD217" s="408" t="s">
        <v>832</v>
      </c>
      <c r="AE217" s="170"/>
      <c r="AF217" s="408" t="s">
        <v>832</v>
      </c>
      <c r="AG217" s="172"/>
      <c r="AH217" s="408" t="s">
        <v>832</v>
      </c>
      <c r="AI217" s="170"/>
      <c r="AJ217" s="408" t="s">
        <v>832</v>
      </c>
      <c r="AK217" s="409"/>
      <c r="AL217" s="407" t="s">
        <v>832</v>
      </c>
      <c r="AM217" s="170"/>
      <c r="AN217" s="491" t="s">
        <v>832</v>
      </c>
      <c r="AO217" s="172"/>
      <c r="AP217" s="408" t="s">
        <v>832</v>
      </c>
      <c r="AQ217" s="170"/>
      <c r="AR217" s="438" t="s">
        <v>832</v>
      </c>
      <c r="AS217" s="172"/>
      <c r="AT217" s="438" t="s">
        <v>832</v>
      </c>
      <c r="AU217" s="172"/>
      <c r="AV217" s="408" t="s">
        <v>832</v>
      </c>
      <c r="AW217" s="170"/>
      <c r="AX217" s="408" t="s">
        <v>832</v>
      </c>
      <c r="AY217" s="401"/>
      <c r="AZ217" s="407" t="s">
        <v>832</v>
      </c>
      <c r="BA217" s="401"/>
      <c r="BB217" s="408" t="s">
        <v>832</v>
      </c>
      <c r="BC217" s="170"/>
      <c r="BD217" s="407" t="s">
        <v>832</v>
      </c>
      <c r="BE217" s="401"/>
      <c r="BF217" s="407" t="s">
        <v>832</v>
      </c>
      <c r="BG217" s="170"/>
      <c r="BH217" s="408" t="s">
        <v>832</v>
      </c>
      <c r="BI217" s="401"/>
      <c r="BJ217" s="407" t="s">
        <v>832</v>
      </c>
      <c r="BK217" s="407"/>
      <c r="BL217" s="408" t="s">
        <v>832</v>
      </c>
      <c r="BM217" s="170"/>
      <c r="BN217" s="491" t="s">
        <v>832</v>
      </c>
      <c r="BO217" s="172"/>
      <c r="BP217" s="408" t="s">
        <v>832</v>
      </c>
      <c r="BQ217" s="419"/>
      <c r="BR217" s="407" t="s">
        <v>832</v>
      </c>
      <c r="BS217" s="170"/>
      <c r="BT217" s="408" t="s">
        <v>832</v>
      </c>
      <c r="BU217" s="170"/>
      <c r="BV217" s="407" t="s">
        <v>832</v>
      </c>
      <c r="BW217" s="170"/>
      <c r="BX217" s="438" t="s">
        <v>832</v>
      </c>
      <c r="BY217" s="172"/>
      <c r="BZ217" s="408" t="s">
        <v>832</v>
      </c>
      <c r="CA217" s="170"/>
      <c r="CB217" s="408" t="s">
        <v>832</v>
      </c>
      <c r="CC217" s="170"/>
      <c r="CD217" s="407" t="s">
        <v>832</v>
      </c>
      <c r="CE217" s="172"/>
      <c r="CF217" s="408" t="s">
        <v>832</v>
      </c>
      <c r="CG217" s="399"/>
      <c r="CH217" s="408" t="s">
        <v>832</v>
      </c>
      <c r="CI217" s="170"/>
      <c r="CJ217" s="408" t="s">
        <v>832</v>
      </c>
      <c r="CK217" s="170"/>
      <c r="CL217" s="407" t="s">
        <v>832</v>
      </c>
      <c r="CM217" s="170"/>
      <c r="CN217" s="407" t="s">
        <v>832</v>
      </c>
      <c r="CO217" s="170"/>
      <c r="CP217" s="408" t="s">
        <v>832</v>
      </c>
      <c r="CQ217" s="170"/>
      <c r="CR217" s="408" t="s">
        <v>832</v>
      </c>
      <c r="CS217" s="401"/>
      <c r="CT217" s="408" t="s">
        <v>832</v>
      </c>
      <c r="CU217" s="170"/>
      <c r="CV217" s="407" t="s">
        <v>832</v>
      </c>
      <c r="CW217" s="170"/>
      <c r="CX217" s="407" t="s">
        <v>832</v>
      </c>
      <c r="CY217" s="170"/>
      <c r="CZ217" s="407" t="s">
        <v>832</v>
      </c>
      <c r="DA217" s="172"/>
      <c r="DB217" s="397"/>
      <c r="DC217" s="397"/>
      <c r="DD217" s="397"/>
      <c r="DE217" s="397"/>
      <c r="DF217" s="397"/>
      <c r="DG217" s="397"/>
      <c r="DH217" s="397"/>
      <c r="DI217" s="397"/>
      <c r="DJ217" s="397"/>
      <c r="DK217" s="397"/>
      <c r="DL217" s="397"/>
      <c r="DM217" s="397"/>
      <c r="DN217" s="397"/>
      <c r="DO217" s="397"/>
      <c r="DP217" s="397"/>
      <c r="DQ217" s="397"/>
      <c r="DR217" s="397"/>
    </row>
    <row r="218" spans="1:122" ht="18.75" x14ac:dyDescent="0.3">
      <c r="A218" s="325"/>
      <c r="B218" s="326">
        <v>166</v>
      </c>
      <c r="C218" s="327" t="s">
        <v>2586</v>
      </c>
      <c r="D218" s="424">
        <v>4</v>
      </c>
      <c r="E218" s="328" t="s">
        <v>2587</v>
      </c>
      <c r="F218" s="173" t="s">
        <v>546</v>
      </c>
      <c r="G218" s="173"/>
      <c r="H218" s="373" t="s">
        <v>834</v>
      </c>
      <c r="I218" s="427" t="s">
        <v>2588</v>
      </c>
      <c r="J218" s="173">
        <v>5.6</v>
      </c>
      <c r="K218" s="371" t="s">
        <v>2589</v>
      </c>
      <c r="L218" s="426">
        <v>7.25</v>
      </c>
      <c r="M218" s="427" t="s">
        <v>2590</v>
      </c>
      <c r="N218" s="173" t="s">
        <v>834</v>
      </c>
      <c r="O218" s="171"/>
      <c r="P218" s="445">
        <v>6.35</v>
      </c>
      <c r="Q218" s="427"/>
      <c r="R218" s="374">
        <v>0.39800000000000002</v>
      </c>
      <c r="S218" s="168" t="s">
        <v>837</v>
      </c>
      <c r="T218" s="428">
        <v>5.75</v>
      </c>
      <c r="U218" s="376"/>
      <c r="V218" s="429">
        <v>6</v>
      </c>
      <c r="W218" s="377"/>
      <c r="X218" s="167">
        <v>4</v>
      </c>
      <c r="Y218" s="168"/>
      <c r="Z218" s="167">
        <v>4</v>
      </c>
      <c r="AA218" s="168"/>
      <c r="AB218" s="373">
        <v>6</v>
      </c>
      <c r="AC218" s="168" t="s">
        <v>2591</v>
      </c>
      <c r="AD218" s="430" t="s">
        <v>834</v>
      </c>
      <c r="AE218" s="168"/>
      <c r="AF218" s="173" t="s">
        <v>834</v>
      </c>
      <c r="AG218" s="171"/>
      <c r="AH218" s="167">
        <v>6</v>
      </c>
      <c r="AI218" s="168" t="s">
        <v>2592</v>
      </c>
      <c r="AJ218" s="373">
        <v>6.5</v>
      </c>
      <c r="AK218" s="431" t="s">
        <v>863</v>
      </c>
      <c r="AL218" s="167">
        <v>6</v>
      </c>
      <c r="AM218" s="168"/>
      <c r="AN218" s="173">
        <v>5</v>
      </c>
      <c r="AO218" s="171"/>
      <c r="AP218" s="475">
        <v>6</v>
      </c>
      <c r="AQ218" s="168" t="s">
        <v>1178</v>
      </c>
      <c r="AR218" s="173">
        <v>6</v>
      </c>
      <c r="AS218" s="171" t="s">
        <v>2593</v>
      </c>
      <c r="AT218" s="173">
        <v>6.25</v>
      </c>
      <c r="AU218" s="171"/>
      <c r="AV218" s="381" t="s">
        <v>834</v>
      </c>
      <c r="AW218" s="168" t="s">
        <v>2594</v>
      </c>
      <c r="AX218" s="433">
        <v>6.875</v>
      </c>
      <c r="AY218" s="427"/>
      <c r="AZ218" s="167">
        <v>7</v>
      </c>
      <c r="BA218" s="427"/>
      <c r="BB218" s="164" t="s">
        <v>834</v>
      </c>
      <c r="BC218" s="168" t="s">
        <v>2595</v>
      </c>
      <c r="BD218" s="432"/>
      <c r="BE218" s="427"/>
      <c r="BF218" s="384">
        <v>5.5</v>
      </c>
      <c r="BG218" s="168" t="s">
        <v>2596</v>
      </c>
      <c r="BH218" s="432">
        <v>6.85</v>
      </c>
      <c r="BI218" s="427" t="s">
        <v>1797</v>
      </c>
      <c r="BJ218" s="167" t="s">
        <v>546</v>
      </c>
      <c r="BK218" s="167"/>
      <c r="BL218" s="167">
        <v>6.875</v>
      </c>
      <c r="BM218" s="168"/>
      <c r="BN218" s="173">
        <v>5.125</v>
      </c>
      <c r="BO218" s="171"/>
      <c r="BP218" s="435">
        <v>4</v>
      </c>
      <c r="BQ218" s="436"/>
      <c r="BR218" s="385">
        <v>4.75</v>
      </c>
      <c r="BS218" s="168" t="s">
        <v>2597</v>
      </c>
      <c r="BT218" s="167" t="s">
        <v>834</v>
      </c>
      <c r="BU218" s="168"/>
      <c r="BV218" s="441">
        <v>5.75</v>
      </c>
      <c r="BW218" s="168" t="s">
        <v>2598</v>
      </c>
      <c r="BX218" s="437" t="s">
        <v>834</v>
      </c>
      <c r="BY218" s="171"/>
      <c r="BZ218" s="432"/>
      <c r="CA218" s="168"/>
      <c r="CB218" s="373">
        <v>6</v>
      </c>
      <c r="CC218" s="175" t="s">
        <v>2599</v>
      </c>
      <c r="CD218" s="173">
        <v>7</v>
      </c>
      <c r="CE218" s="171"/>
      <c r="CF218" s="373" t="s">
        <v>834</v>
      </c>
      <c r="CG218" s="175" t="s">
        <v>2600</v>
      </c>
      <c r="CH218" s="167">
        <v>4.5</v>
      </c>
      <c r="CI218" s="168"/>
      <c r="CJ218" s="167">
        <v>7</v>
      </c>
      <c r="CK218" s="168"/>
      <c r="CL218" s="385">
        <v>6.25</v>
      </c>
      <c r="CM218" s="168"/>
      <c r="CN218" s="385">
        <v>4.7</v>
      </c>
      <c r="CO218" s="168" t="s">
        <v>2601</v>
      </c>
      <c r="CP218" s="167">
        <v>6</v>
      </c>
      <c r="CQ218" s="168"/>
      <c r="CR218" s="373">
        <v>5.3</v>
      </c>
      <c r="CS218" s="427"/>
      <c r="CT218" s="432">
        <v>6.5</v>
      </c>
      <c r="CU218" s="168" t="s">
        <v>938</v>
      </c>
      <c r="CV218" s="432">
        <v>6</v>
      </c>
      <c r="CW218" s="461"/>
      <c r="CX218" s="168">
        <v>5</v>
      </c>
      <c r="CY218" s="461"/>
      <c r="CZ218" s="173">
        <v>4</v>
      </c>
      <c r="DA218" s="171" t="s">
        <v>1761</v>
      </c>
      <c r="DB218" s="371" t="s">
        <v>546</v>
      </c>
      <c r="DC218" s="371">
        <f t="shared" ref="DC218:DC237" si="21">COUNT(D218:CZ218)</f>
        <v>38</v>
      </c>
      <c r="DD218" s="371"/>
      <c r="DE218" s="371"/>
      <c r="DF218" s="371"/>
      <c r="DG218" s="371"/>
      <c r="DH218" s="371"/>
      <c r="DI218" s="371"/>
      <c r="DJ218" s="371"/>
      <c r="DK218" s="371"/>
      <c r="DL218" s="371"/>
      <c r="DM218" s="371"/>
      <c r="DN218" s="371"/>
      <c r="DO218" s="371"/>
      <c r="DP218" s="371"/>
      <c r="DQ218" s="371"/>
      <c r="DR218" s="371"/>
    </row>
    <row r="219" spans="1:122" ht="18.75" x14ac:dyDescent="0.3">
      <c r="A219" s="325"/>
      <c r="B219" s="326">
        <v>167</v>
      </c>
      <c r="C219" s="327" t="s">
        <v>2602</v>
      </c>
      <c r="D219" s="424">
        <v>4</v>
      </c>
      <c r="E219" s="328"/>
      <c r="F219" s="173" t="s">
        <v>546</v>
      </c>
      <c r="G219" s="173"/>
      <c r="H219" s="373">
        <v>6.5</v>
      </c>
      <c r="I219" s="427"/>
      <c r="J219" s="173">
        <v>5.6</v>
      </c>
      <c r="K219" s="371" t="s">
        <v>2589</v>
      </c>
      <c r="L219" s="426">
        <v>7.25</v>
      </c>
      <c r="M219" s="427" t="s">
        <v>2603</v>
      </c>
      <c r="N219" s="173">
        <v>2.9</v>
      </c>
      <c r="O219" s="171"/>
      <c r="P219" s="445">
        <v>6.35</v>
      </c>
      <c r="Q219" s="427"/>
      <c r="R219" s="374">
        <v>0.39800000000000002</v>
      </c>
      <c r="S219" s="168" t="s">
        <v>837</v>
      </c>
      <c r="T219" s="428">
        <v>5.75</v>
      </c>
      <c r="U219" s="376"/>
      <c r="V219" s="429">
        <v>6</v>
      </c>
      <c r="W219" s="377"/>
      <c r="X219" s="167">
        <v>4</v>
      </c>
      <c r="Y219" s="168"/>
      <c r="Z219" s="167">
        <v>4</v>
      </c>
      <c r="AA219" s="168"/>
      <c r="AB219" s="373">
        <v>6</v>
      </c>
      <c r="AC219" s="168"/>
      <c r="AD219" s="430">
        <v>6.25</v>
      </c>
      <c r="AE219" s="168"/>
      <c r="AF219" s="173">
        <v>7</v>
      </c>
      <c r="AG219" s="171"/>
      <c r="AH219" s="167">
        <v>6</v>
      </c>
      <c r="AI219" s="168"/>
      <c r="AJ219" s="373">
        <v>6.5</v>
      </c>
      <c r="AK219" s="431" t="s">
        <v>863</v>
      </c>
      <c r="AL219" s="167">
        <v>6</v>
      </c>
      <c r="AM219" s="168"/>
      <c r="AN219" s="173">
        <v>5</v>
      </c>
      <c r="AO219" s="171"/>
      <c r="AP219" s="475">
        <v>5.5</v>
      </c>
      <c r="AQ219" s="168"/>
      <c r="AR219" s="173">
        <v>6</v>
      </c>
      <c r="AS219" s="171" t="s">
        <v>2604</v>
      </c>
      <c r="AT219" s="173">
        <v>6.25</v>
      </c>
      <c r="AU219" s="171" t="s">
        <v>2605</v>
      </c>
      <c r="AV219" s="381">
        <v>6</v>
      </c>
      <c r="AW219" s="168"/>
      <c r="AX219" s="433">
        <v>6.875</v>
      </c>
      <c r="AY219" s="427"/>
      <c r="AZ219" s="167">
        <v>7</v>
      </c>
      <c r="BA219" s="427"/>
      <c r="BB219" s="164">
        <v>4.2249999999999996</v>
      </c>
      <c r="BC219" s="168"/>
      <c r="BD219" s="432"/>
      <c r="BE219" s="427"/>
      <c r="BF219" s="384">
        <v>5.5</v>
      </c>
      <c r="BG219" s="168"/>
      <c r="BH219" s="432">
        <v>6.85</v>
      </c>
      <c r="BI219" s="427" t="s">
        <v>1797</v>
      </c>
      <c r="BJ219" s="167" t="s">
        <v>546</v>
      </c>
      <c r="BK219" s="167"/>
      <c r="BL219" s="167">
        <v>6.875</v>
      </c>
      <c r="BM219" s="168" t="s">
        <v>2606</v>
      </c>
      <c r="BN219" s="173">
        <v>5.125</v>
      </c>
      <c r="BO219" s="171"/>
      <c r="BP219" s="435">
        <v>4</v>
      </c>
      <c r="BQ219" s="436"/>
      <c r="BR219" s="385">
        <v>4.75</v>
      </c>
      <c r="BS219" s="168"/>
      <c r="BT219" s="167">
        <v>5</v>
      </c>
      <c r="BU219" s="168"/>
      <c r="BV219" s="441">
        <v>5.75</v>
      </c>
      <c r="BW219" s="168"/>
      <c r="BX219" s="437">
        <v>4.5</v>
      </c>
      <c r="BY219" s="171"/>
      <c r="BZ219" s="432"/>
      <c r="CA219" s="168"/>
      <c r="CB219" s="373">
        <v>6</v>
      </c>
      <c r="CC219" s="175" t="s">
        <v>2607</v>
      </c>
      <c r="CD219" s="173">
        <v>7</v>
      </c>
      <c r="CE219" s="171"/>
      <c r="CF219" s="373">
        <v>6</v>
      </c>
      <c r="CG219" s="175"/>
      <c r="CH219" s="167">
        <v>4.5</v>
      </c>
      <c r="CI219" s="168"/>
      <c r="CJ219" s="167">
        <v>7</v>
      </c>
      <c r="CK219" s="168"/>
      <c r="CL219" s="385">
        <v>6.25</v>
      </c>
      <c r="CM219" s="461" t="s">
        <v>2608</v>
      </c>
      <c r="CN219" s="385">
        <v>4.7</v>
      </c>
      <c r="CO219" s="168" t="s">
        <v>2601</v>
      </c>
      <c r="CP219" s="167">
        <v>6</v>
      </c>
      <c r="CQ219" s="168"/>
      <c r="CR219" s="373">
        <v>5.3</v>
      </c>
      <c r="CS219" s="427"/>
      <c r="CT219" s="432">
        <v>6.5</v>
      </c>
      <c r="CU219" s="168" t="s">
        <v>938</v>
      </c>
      <c r="CV219" s="442">
        <v>6</v>
      </c>
      <c r="CW219" s="168" t="s">
        <v>2609</v>
      </c>
      <c r="CX219" s="168">
        <v>5</v>
      </c>
      <c r="CY219" s="168" t="s">
        <v>2610</v>
      </c>
      <c r="CZ219" s="173">
        <v>4</v>
      </c>
      <c r="DA219" s="171" t="s">
        <v>2611</v>
      </c>
      <c r="DB219" s="371" t="s">
        <v>546</v>
      </c>
      <c r="DC219" s="371">
        <f t="shared" si="21"/>
        <v>47</v>
      </c>
      <c r="DD219" s="371"/>
      <c r="DE219" s="371"/>
      <c r="DF219" s="371"/>
      <c r="DG219" s="371"/>
      <c r="DH219" s="371"/>
      <c r="DI219" s="371"/>
      <c r="DJ219" s="371"/>
      <c r="DK219" s="371"/>
      <c r="DL219" s="371"/>
      <c r="DM219" s="371"/>
      <c r="DN219" s="371"/>
      <c r="DO219" s="371"/>
      <c r="DP219" s="371"/>
      <c r="DQ219" s="371"/>
      <c r="DR219" s="371"/>
    </row>
    <row r="220" spans="1:122" ht="18.75" x14ac:dyDescent="0.3">
      <c r="A220" s="325">
        <v>811</v>
      </c>
      <c r="B220" s="326">
        <v>168</v>
      </c>
      <c r="C220" s="327" t="s">
        <v>2612</v>
      </c>
      <c r="D220" s="424" t="s">
        <v>834</v>
      </c>
      <c r="E220" s="328" t="s">
        <v>1954</v>
      </c>
      <c r="F220" s="173" t="s">
        <v>546</v>
      </c>
      <c r="G220" s="173"/>
      <c r="H220" s="373">
        <v>6.5</v>
      </c>
      <c r="I220" s="427" t="s">
        <v>2613</v>
      </c>
      <c r="J220" s="173" t="s">
        <v>834</v>
      </c>
      <c r="K220" s="371" t="s">
        <v>2614</v>
      </c>
      <c r="L220" s="426" t="s">
        <v>834</v>
      </c>
      <c r="M220" s="427" t="s">
        <v>2615</v>
      </c>
      <c r="N220" s="173" t="s">
        <v>834</v>
      </c>
      <c r="O220" s="171" t="s">
        <v>2616</v>
      </c>
      <c r="P220" s="445">
        <v>6.35</v>
      </c>
      <c r="Q220" s="427"/>
      <c r="R220" s="374">
        <v>0.39800000000000002</v>
      </c>
      <c r="S220" s="168" t="s">
        <v>837</v>
      </c>
      <c r="T220" s="428">
        <v>5.75</v>
      </c>
      <c r="U220" s="376"/>
      <c r="V220" s="429">
        <v>6</v>
      </c>
      <c r="W220" s="377" t="s">
        <v>2617</v>
      </c>
      <c r="X220" s="167" t="s">
        <v>834</v>
      </c>
      <c r="Y220" s="168" t="s">
        <v>2618</v>
      </c>
      <c r="Z220" s="167">
        <v>4</v>
      </c>
      <c r="AA220" s="168"/>
      <c r="AB220" s="373" t="s">
        <v>834</v>
      </c>
      <c r="AC220" s="168" t="s">
        <v>2619</v>
      </c>
      <c r="AD220" s="430" t="s">
        <v>834</v>
      </c>
      <c r="AE220" s="168"/>
      <c r="AF220" s="173" t="s">
        <v>834</v>
      </c>
      <c r="AG220" s="171" t="s">
        <v>2620</v>
      </c>
      <c r="AH220" s="373">
        <v>6</v>
      </c>
      <c r="AI220" s="168" t="s">
        <v>2621</v>
      </c>
      <c r="AJ220" s="373">
        <v>6.5</v>
      </c>
      <c r="AK220" s="431" t="s">
        <v>863</v>
      </c>
      <c r="AL220" s="167" t="s">
        <v>834</v>
      </c>
      <c r="AM220" s="168" t="s">
        <v>2622</v>
      </c>
      <c r="AN220" s="173">
        <v>5</v>
      </c>
      <c r="AO220" s="171"/>
      <c r="AP220" s="432" t="s">
        <v>834</v>
      </c>
      <c r="AQ220" s="377" t="s">
        <v>2623</v>
      </c>
      <c r="AR220" s="173" t="s">
        <v>834</v>
      </c>
      <c r="AS220" s="171"/>
      <c r="AT220" s="173" t="s">
        <v>834</v>
      </c>
      <c r="AU220" s="171" t="s">
        <v>2624</v>
      </c>
      <c r="AV220" s="381" t="s">
        <v>834</v>
      </c>
      <c r="AW220" s="168" t="s">
        <v>2625</v>
      </c>
      <c r="AX220" s="433" t="s">
        <v>834</v>
      </c>
      <c r="AY220" s="427" t="s">
        <v>2626</v>
      </c>
      <c r="AZ220" s="167">
        <v>7</v>
      </c>
      <c r="BA220" s="427" t="s">
        <v>546</v>
      </c>
      <c r="BB220" s="164" t="s">
        <v>834</v>
      </c>
      <c r="BC220" s="168" t="s">
        <v>2618</v>
      </c>
      <c r="BD220" s="432" t="s">
        <v>546</v>
      </c>
      <c r="BE220" s="427"/>
      <c r="BF220" s="384">
        <v>5.5</v>
      </c>
      <c r="BG220" s="168"/>
      <c r="BH220" s="432" t="s">
        <v>834</v>
      </c>
      <c r="BI220" s="427" t="s">
        <v>2627</v>
      </c>
      <c r="BJ220" s="167" t="s">
        <v>546</v>
      </c>
      <c r="BK220" s="167"/>
      <c r="BL220" s="167">
        <v>6.875</v>
      </c>
      <c r="BM220" s="168"/>
      <c r="BN220" s="173">
        <v>5.125</v>
      </c>
      <c r="BO220" s="171"/>
      <c r="BP220" s="435">
        <v>4</v>
      </c>
      <c r="BQ220" s="436"/>
      <c r="BR220" s="445">
        <v>4.75</v>
      </c>
      <c r="BS220" s="168" t="s">
        <v>546</v>
      </c>
      <c r="BT220" s="167" t="s">
        <v>834</v>
      </c>
      <c r="BU220" s="168" t="s">
        <v>2628</v>
      </c>
      <c r="BV220" s="441">
        <v>5.75</v>
      </c>
      <c r="BW220" s="168" t="s">
        <v>2629</v>
      </c>
      <c r="BX220" s="437" t="s">
        <v>834</v>
      </c>
      <c r="BY220" s="171" t="s">
        <v>2630</v>
      </c>
      <c r="BZ220" s="432" t="s">
        <v>546</v>
      </c>
      <c r="CA220" s="168"/>
      <c r="CB220" s="373">
        <v>6</v>
      </c>
      <c r="CC220" s="175" t="s">
        <v>2607</v>
      </c>
      <c r="CD220" s="173" t="s">
        <v>834</v>
      </c>
      <c r="CE220" s="171" t="s">
        <v>2631</v>
      </c>
      <c r="CF220" s="373" t="s">
        <v>834</v>
      </c>
      <c r="CG220" s="175" t="s">
        <v>2632</v>
      </c>
      <c r="CH220" s="167">
        <v>4.5</v>
      </c>
      <c r="CI220" s="168"/>
      <c r="CJ220" s="373">
        <v>7</v>
      </c>
      <c r="CK220" s="444" t="s">
        <v>2633</v>
      </c>
      <c r="CL220" s="385">
        <v>6.25</v>
      </c>
      <c r="CM220" s="168"/>
      <c r="CN220" s="385">
        <v>4.7</v>
      </c>
      <c r="CO220" s="168" t="s">
        <v>2601</v>
      </c>
      <c r="CP220" s="373" t="s">
        <v>834</v>
      </c>
      <c r="CQ220" s="168" t="s">
        <v>2634</v>
      </c>
      <c r="CR220" s="373" t="s">
        <v>834</v>
      </c>
      <c r="CS220" s="427" t="s">
        <v>2618</v>
      </c>
      <c r="CT220" s="432">
        <v>6.5</v>
      </c>
      <c r="CU220" s="168" t="s">
        <v>938</v>
      </c>
      <c r="CV220" s="442">
        <v>6</v>
      </c>
      <c r="CW220" s="168"/>
      <c r="CX220" s="168">
        <v>5</v>
      </c>
      <c r="CY220" s="168" t="s">
        <v>2635</v>
      </c>
      <c r="CZ220" s="173">
        <v>4</v>
      </c>
      <c r="DA220" s="171" t="s">
        <v>2636</v>
      </c>
      <c r="DB220" s="371" t="s">
        <v>546</v>
      </c>
      <c r="DC220" s="371">
        <f t="shared" si="21"/>
        <v>25</v>
      </c>
      <c r="DD220" s="371"/>
      <c r="DE220" s="371"/>
      <c r="DF220" s="371"/>
      <c r="DG220" s="371"/>
      <c r="DH220" s="371"/>
      <c r="DI220" s="371"/>
      <c r="DJ220" s="371"/>
      <c r="DK220" s="371"/>
      <c r="DL220" s="371"/>
      <c r="DM220" s="371"/>
      <c r="DN220" s="371"/>
      <c r="DO220" s="371"/>
      <c r="DP220" s="371"/>
      <c r="DQ220" s="371"/>
      <c r="DR220" s="371"/>
    </row>
    <row r="221" spans="1:122" ht="18.75" x14ac:dyDescent="0.3">
      <c r="A221" s="325">
        <v>488190</v>
      </c>
      <c r="B221" s="326">
        <v>169</v>
      </c>
      <c r="C221" s="327" t="s">
        <v>2637</v>
      </c>
      <c r="D221" s="424" t="s">
        <v>834</v>
      </c>
      <c r="E221" s="328"/>
      <c r="F221" s="173"/>
      <c r="G221" s="173"/>
      <c r="H221" s="373">
        <v>6.5</v>
      </c>
      <c r="I221" s="427" t="s">
        <v>2638</v>
      </c>
      <c r="J221" s="173" t="s">
        <v>834</v>
      </c>
      <c r="K221" s="371"/>
      <c r="L221" s="426" t="s">
        <v>834</v>
      </c>
      <c r="M221" s="427"/>
      <c r="N221" s="173" t="s">
        <v>834</v>
      </c>
      <c r="O221" s="171"/>
      <c r="P221" s="445" t="s">
        <v>834</v>
      </c>
      <c r="Q221" s="427"/>
      <c r="R221" s="374">
        <v>0.39800000000000002</v>
      </c>
      <c r="S221" s="168" t="s">
        <v>837</v>
      </c>
      <c r="T221" s="428">
        <v>5.75</v>
      </c>
      <c r="U221" s="376"/>
      <c r="V221" s="429">
        <v>6</v>
      </c>
      <c r="W221" s="377" t="s">
        <v>2639</v>
      </c>
      <c r="X221" s="373" t="s">
        <v>834</v>
      </c>
      <c r="Y221" s="444" t="s">
        <v>2640</v>
      </c>
      <c r="Z221" s="167">
        <v>4</v>
      </c>
      <c r="AA221" s="168" t="s">
        <v>2641</v>
      </c>
      <c r="AB221" s="167" t="s">
        <v>834</v>
      </c>
      <c r="AC221" s="168"/>
      <c r="AD221" s="430" t="s">
        <v>834</v>
      </c>
      <c r="AE221" s="168"/>
      <c r="AF221" s="173" t="s">
        <v>834</v>
      </c>
      <c r="AG221" s="171"/>
      <c r="AH221" s="373">
        <v>6</v>
      </c>
      <c r="AI221" s="168"/>
      <c r="AJ221" s="373" t="s">
        <v>834</v>
      </c>
      <c r="AK221" s="431"/>
      <c r="AL221" s="167" t="s">
        <v>834</v>
      </c>
      <c r="AM221" s="168"/>
      <c r="AN221" s="173">
        <v>5</v>
      </c>
      <c r="AO221" s="171"/>
      <c r="AP221" s="432" t="s">
        <v>834</v>
      </c>
      <c r="AQ221" s="168"/>
      <c r="AR221" s="173" t="s">
        <v>834</v>
      </c>
      <c r="AS221" s="171"/>
      <c r="AT221" s="173" t="s">
        <v>834</v>
      </c>
      <c r="AU221" s="171"/>
      <c r="AV221" s="381" t="s">
        <v>834</v>
      </c>
      <c r="AW221" s="168" t="s">
        <v>2625</v>
      </c>
      <c r="AX221" s="433" t="s">
        <v>834</v>
      </c>
      <c r="AY221" s="427"/>
      <c r="AZ221" s="167" t="s">
        <v>834</v>
      </c>
      <c r="BA221" s="427"/>
      <c r="BB221" s="164" t="s">
        <v>834</v>
      </c>
      <c r="BC221" s="168"/>
      <c r="BD221" s="432"/>
      <c r="BE221" s="427"/>
      <c r="BF221" s="384">
        <v>5.5</v>
      </c>
      <c r="BG221" s="168"/>
      <c r="BH221" s="432" t="s">
        <v>834</v>
      </c>
      <c r="BI221" s="427" t="s">
        <v>2627</v>
      </c>
      <c r="BJ221" s="167" t="s">
        <v>546</v>
      </c>
      <c r="BK221" s="167"/>
      <c r="BL221" s="167">
        <v>6.875</v>
      </c>
      <c r="BM221" s="168" t="s">
        <v>2642</v>
      </c>
      <c r="BN221" s="173">
        <v>5.125</v>
      </c>
      <c r="BO221" s="171" t="s">
        <v>2643</v>
      </c>
      <c r="BP221" s="435" t="s">
        <v>834</v>
      </c>
      <c r="BQ221" s="436"/>
      <c r="BR221" s="385">
        <v>4.75</v>
      </c>
      <c r="BS221" s="168"/>
      <c r="BT221" s="167" t="s">
        <v>834</v>
      </c>
      <c r="BU221" s="168"/>
      <c r="BV221" s="441" t="s">
        <v>834</v>
      </c>
      <c r="BW221" s="168" t="s">
        <v>2644</v>
      </c>
      <c r="BX221" s="437" t="s">
        <v>834</v>
      </c>
      <c r="BY221" s="171"/>
      <c r="BZ221" s="432"/>
      <c r="CA221" s="168"/>
      <c r="CB221" s="373" t="s">
        <v>834</v>
      </c>
      <c r="CC221" s="175"/>
      <c r="CD221" s="173" t="s">
        <v>834</v>
      </c>
      <c r="CE221" s="171"/>
      <c r="CF221" s="373" t="s">
        <v>834</v>
      </c>
      <c r="CG221" s="175" t="s">
        <v>2645</v>
      </c>
      <c r="CH221" s="167">
        <v>4.5</v>
      </c>
      <c r="CI221" s="168"/>
      <c r="CJ221" s="167">
        <v>7</v>
      </c>
      <c r="CK221" s="444" t="s">
        <v>2646</v>
      </c>
      <c r="CL221" s="385" t="s">
        <v>834</v>
      </c>
      <c r="CM221" s="168"/>
      <c r="CN221" s="445">
        <v>4.7</v>
      </c>
      <c r="CO221" s="168" t="s">
        <v>2647</v>
      </c>
      <c r="CP221" s="373" t="s">
        <v>834</v>
      </c>
      <c r="CQ221" s="168"/>
      <c r="CR221" s="373" t="s">
        <v>834</v>
      </c>
      <c r="CS221" s="427"/>
      <c r="CT221" s="432">
        <v>6.5</v>
      </c>
      <c r="CU221" s="168" t="s">
        <v>938</v>
      </c>
      <c r="CV221" s="442" t="s">
        <v>834</v>
      </c>
      <c r="CW221" s="168" t="s">
        <v>2648</v>
      </c>
      <c r="CX221" s="168" t="s">
        <v>834</v>
      </c>
      <c r="CY221" s="168" t="s">
        <v>2649</v>
      </c>
      <c r="CZ221" s="173" t="s">
        <v>834</v>
      </c>
      <c r="DA221" s="171" t="s">
        <v>2650</v>
      </c>
      <c r="DB221" s="371" t="s">
        <v>546</v>
      </c>
      <c r="DC221" s="371">
        <f t="shared" si="21"/>
        <v>15</v>
      </c>
      <c r="DD221" s="371"/>
      <c r="DE221" s="371"/>
      <c r="DF221" s="371"/>
      <c r="DG221" s="371"/>
      <c r="DH221" s="371"/>
      <c r="DI221" s="371"/>
      <c r="DJ221" s="371"/>
      <c r="DK221" s="371"/>
      <c r="DL221" s="371"/>
      <c r="DM221" s="371"/>
      <c r="DN221" s="371"/>
      <c r="DO221" s="371"/>
      <c r="DP221" s="371"/>
      <c r="DQ221" s="371"/>
      <c r="DR221" s="371"/>
    </row>
    <row r="222" spans="1:122" ht="18.75" x14ac:dyDescent="0.3">
      <c r="A222" s="325"/>
      <c r="B222" s="326">
        <v>170</v>
      </c>
      <c r="C222" s="327" t="s">
        <v>2651</v>
      </c>
      <c r="D222" s="424" t="s">
        <v>834</v>
      </c>
      <c r="E222" s="328"/>
      <c r="F222" s="173" t="s">
        <v>546</v>
      </c>
      <c r="G222" s="173"/>
      <c r="H222" s="373">
        <v>6.5</v>
      </c>
      <c r="I222" s="427" t="s">
        <v>2652</v>
      </c>
      <c r="J222" s="173" t="s">
        <v>834</v>
      </c>
      <c r="K222" s="371"/>
      <c r="L222" s="426" t="s">
        <v>834</v>
      </c>
      <c r="M222" s="427"/>
      <c r="N222" s="173" t="s">
        <v>834</v>
      </c>
      <c r="O222" s="171"/>
      <c r="P222" s="445" t="s">
        <v>834</v>
      </c>
      <c r="Q222" s="427" t="s">
        <v>2653</v>
      </c>
      <c r="R222" s="374">
        <v>0.39800000000000002</v>
      </c>
      <c r="S222" s="168" t="s">
        <v>837</v>
      </c>
      <c r="T222" s="428">
        <v>5.75</v>
      </c>
      <c r="U222" s="376"/>
      <c r="V222" s="429">
        <v>6</v>
      </c>
      <c r="W222" s="377" t="s">
        <v>2654</v>
      </c>
      <c r="X222" s="373" t="s">
        <v>834</v>
      </c>
      <c r="Y222" s="444" t="s">
        <v>2655</v>
      </c>
      <c r="Z222" s="373" t="s">
        <v>834</v>
      </c>
      <c r="AA222" s="168" t="s">
        <v>2656</v>
      </c>
      <c r="AB222" s="167" t="s">
        <v>834</v>
      </c>
      <c r="AC222" s="168"/>
      <c r="AD222" s="430" t="s">
        <v>834</v>
      </c>
      <c r="AE222" s="168"/>
      <c r="AF222" s="173" t="s">
        <v>834</v>
      </c>
      <c r="AG222" s="171"/>
      <c r="AH222" s="373" t="s">
        <v>834</v>
      </c>
      <c r="AI222" s="453" t="s">
        <v>2657</v>
      </c>
      <c r="AJ222" s="373" t="s">
        <v>834</v>
      </c>
      <c r="AK222" s="431" t="s">
        <v>2658</v>
      </c>
      <c r="AL222" s="167" t="s">
        <v>834</v>
      </c>
      <c r="AM222" s="168"/>
      <c r="AN222" s="173" t="s">
        <v>834</v>
      </c>
      <c r="AO222" s="171"/>
      <c r="AP222" s="432" t="s">
        <v>834</v>
      </c>
      <c r="AQ222" s="168"/>
      <c r="AR222" s="173" t="s">
        <v>834</v>
      </c>
      <c r="AS222" s="171"/>
      <c r="AT222" s="173" t="s">
        <v>834</v>
      </c>
      <c r="AU222" s="171"/>
      <c r="AV222" s="381" t="s">
        <v>834</v>
      </c>
      <c r="AW222" s="168" t="s">
        <v>2659</v>
      </c>
      <c r="AX222" s="433" t="s">
        <v>834</v>
      </c>
      <c r="AY222" s="427"/>
      <c r="AZ222" s="429">
        <v>7</v>
      </c>
      <c r="BA222" s="427"/>
      <c r="BB222" s="164" t="s">
        <v>834</v>
      </c>
      <c r="BC222" s="168"/>
      <c r="BD222" s="432"/>
      <c r="BE222" s="427"/>
      <c r="BF222" s="384" t="s">
        <v>834</v>
      </c>
      <c r="BG222" s="168" t="s">
        <v>2660</v>
      </c>
      <c r="BH222" s="432" t="s">
        <v>834</v>
      </c>
      <c r="BI222" s="427" t="s">
        <v>2627</v>
      </c>
      <c r="BJ222" s="167" t="s">
        <v>546</v>
      </c>
      <c r="BK222" s="167"/>
      <c r="BL222" s="167" t="s">
        <v>834</v>
      </c>
      <c r="BM222" s="168"/>
      <c r="BN222" s="173">
        <v>5.125</v>
      </c>
      <c r="BO222" s="171"/>
      <c r="BP222" s="435" t="s">
        <v>834</v>
      </c>
      <c r="BQ222" s="436"/>
      <c r="BR222" s="385">
        <v>4.75</v>
      </c>
      <c r="BS222" s="168"/>
      <c r="BT222" s="167" t="s">
        <v>834</v>
      </c>
      <c r="BU222" s="168"/>
      <c r="BV222" s="373" t="s">
        <v>834</v>
      </c>
      <c r="BW222" s="168"/>
      <c r="BX222" s="437" t="s">
        <v>834</v>
      </c>
      <c r="BY222" s="171"/>
      <c r="BZ222" s="432"/>
      <c r="CA222" s="168"/>
      <c r="CB222" s="373" t="s">
        <v>834</v>
      </c>
      <c r="CC222" s="175"/>
      <c r="CD222" s="173" t="s">
        <v>834</v>
      </c>
      <c r="CE222" s="171" t="s">
        <v>2661</v>
      </c>
      <c r="CF222" s="373" t="s">
        <v>834</v>
      </c>
      <c r="CG222" s="175" t="s">
        <v>2645</v>
      </c>
      <c r="CH222" s="167">
        <v>4.5</v>
      </c>
      <c r="CI222" s="168"/>
      <c r="CJ222" s="167">
        <v>7</v>
      </c>
      <c r="CK222" s="444" t="s">
        <v>2662</v>
      </c>
      <c r="CL222" s="385" t="s">
        <v>834</v>
      </c>
      <c r="CM222" s="168" t="s">
        <v>2663</v>
      </c>
      <c r="CN222" s="385">
        <v>4.7</v>
      </c>
      <c r="CO222" s="168"/>
      <c r="CP222" s="373" t="s">
        <v>834</v>
      </c>
      <c r="CQ222" s="168" t="s">
        <v>2634</v>
      </c>
      <c r="CR222" s="373" t="s">
        <v>834</v>
      </c>
      <c r="CS222" s="427"/>
      <c r="CT222" s="432" t="s">
        <v>834</v>
      </c>
      <c r="CU222" s="168" t="s">
        <v>938</v>
      </c>
      <c r="CV222" s="442" t="s">
        <v>834</v>
      </c>
      <c r="CW222" s="168" t="s">
        <v>2664</v>
      </c>
      <c r="CX222" s="168" t="s">
        <v>834</v>
      </c>
      <c r="CY222" s="168" t="s">
        <v>2665</v>
      </c>
      <c r="CZ222" s="173">
        <v>4</v>
      </c>
      <c r="DA222" s="171" t="s">
        <v>2666</v>
      </c>
      <c r="DB222" s="371" t="s">
        <v>546</v>
      </c>
      <c r="DC222" s="371">
        <f t="shared" si="21"/>
        <v>11</v>
      </c>
      <c r="DD222" s="371"/>
      <c r="DE222" s="371"/>
      <c r="DF222" s="371"/>
      <c r="DG222" s="371"/>
      <c r="DH222" s="371"/>
      <c r="DI222" s="371"/>
      <c r="DJ222" s="371"/>
      <c r="DK222" s="371"/>
      <c r="DL222" s="371"/>
      <c r="DM222" s="371"/>
      <c r="DN222" s="371"/>
      <c r="DO222" s="371"/>
      <c r="DP222" s="371"/>
      <c r="DQ222" s="371"/>
      <c r="DR222" s="371"/>
    </row>
    <row r="223" spans="1:122" ht="18.75" x14ac:dyDescent="0.3">
      <c r="A223" s="325"/>
      <c r="B223" s="326">
        <v>171</v>
      </c>
      <c r="C223" s="327" t="s">
        <v>2667</v>
      </c>
      <c r="D223" s="424" t="s">
        <v>834</v>
      </c>
      <c r="E223" s="328"/>
      <c r="F223" s="173"/>
      <c r="G223" s="173"/>
      <c r="H223" s="373">
        <v>6.5</v>
      </c>
      <c r="I223" s="427" t="s">
        <v>2652</v>
      </c>
      <c r="J223" s="173" t="s">
        <v>834</v>
      </c>
      <c r="K223" s="371"/>
      <c r="L223" s="426" t="s">
        <v>834</v>
      </c>
      <c r="M223" s="427"/>
      <c r="N223" s="173" t="s">
        <v>834</v>
      </c>
      <c r="O223" s="171"/>
      <c r="P223" s="445" t="s">
        <v>834</v>
      </c>
      <c r="Q223" s="427" t="s">
        <v>2653</v>
      </c>
      <c r="R223" s="374">
        <v>0.39800000000000002</v>
      </c>
      <c r="S223" s="168" t="s">
        <v>837</v>
      </c>
      <c r="T223" s="428">
        <v>5.75</v>
      </c>
      <c r="U223" s="376"/>
      <c r="V223" s="429">
        <v>6</v>
      </c>
      <c r="W223" s="377"/>
      <c r="X223" s="167" t="s">
        <v>834</v>
      </c>
      <c r="Y223" s="168" t="s">
        <v>2668</v>
      </c>
      <c r="Z223" s="167">
        <v>4</v>
      </c>
      <c r="AA223" s="168"/>
      <c r="AB223" s="167" t="s">
        <v>834</v>
      </c>
      <c r="AC223" s="168"/>
      <c r="AD223" s="430" t="s">
        <v>834</v>
      </c>
      <c r="AE223" s="168"/>
      <c r="AF223" s="173" t="s">
        <v>834</v>
      </c>
      <c r="AG223" s="171"/>
      <c r="AH223" s="373">
        <v>6</v>
      </c>
      <c r="AI223" s="168"/>
      <c r="AJ223" s="373">
        <v>6.5</v>
      </c>
      <c r="AK223" s="431" t="s">
        <v>863</v>
      </c>
      <c r="AL223" s="167" t="s">
        <v>834</v>
      </c>
      <c r="AM223" s="168"/>
      <c r="AN223" s="173">
        <v>5</v>
      </c>
      <c r="AO223" s="171"/>
      <c r="AP223" s="432" t="s">
        <v>834</v>
      </c>
      <c r="AQ223" s="168"/>
      <c r="AR223" s="173" t="s">
        <v>834</v>
      </c>
      <c r="AS223" s="171"/>
      <c r="AT223" s="173" t="s">
        <v>834</v>
      </c>
      <c r="AU223" s="171"/>
      <c r="AV223" s="381" t="s">
        <v>834</v>
      </c>
      <c r="AW223" s="168" t="s">
        <v>2669</v>
      </c>
      <c r="AX223" s="433" t="s">
        <v>834</v>
      </c>
      <c r="AY223" s="427"/>
      <c r="AZ223" s="429">
        <v>7</v>
      </c>
      <c r="BA223" s="427"/>
      <c r="BB223" s="164" t="s">
        <v>834</v>
      </c>
      <c r="BC223" s="168"/>
      <c r="BD223" s="432"/>
      <c r="BE223" s="427"/>
      <c r="BF223" s="384" t="s">
        <v>834</v>
      </c>
      <c r="BG223" s="168" t="s">
        <v>2670</v>
      </c>
      <c r="BH223" s="432" t="s">
        <v>834</v>
      </c>
      <c r="BI223" s="427" t="s">
        <v>2627</v>
      </c>
      <c r="BJ223" s="167" t="s">
        <v>546</v>
      </c>
      <c r="BK223" s="167"/>
      <c r="BL223" s="167">
        <v>6.875</v>
      </c>
      <c r="BM223" s="168"/>
      <c r="BN223" s="173">
        <v>5.125</v>
      </c>
      <c r="BO223" s="171"/>
      <c r="BP223" s="466">
        <v>4</v>
      </c>
      <c r="BQ223" s="436"/>
      <c r="BR223" s="385">
        <v>4.75</v>
      </c>
      <c r="BS223" s="168"/>
      <c r="BT223" s="167" t="s">
        <v>834</v>
      </c>
      <c r="BU223" s="168"/>
      <c r="BV223" s="441">
        <v>5.75</v>
      </c>
      <c r="BW223" s="168"/>
      <c r="BX223" s="437" t="s">
        <v>834</v>
      </c>
      <c r="BY223" s="171"/>
      <c r="BZ223" s="432"/>
      <c r="CA223" s="168"/>
      <c r="CB223" s="373">
        <v>6</v>
      </c>
      <c r="CC223" s="175" t="s">
        <v>2671</v>
      </c>
      <c r="CD223" s="173" t="s">
        <v>834</v>
      </c>
      <c r="CE223" s="171"/>
      <c r="CF223" s="373" t="s">
        <v>834</v>
      </c>
      <c r="CG223" s="175" t="s">
        <v>2645</v>
      </c>
      <c r="CH223" s="167">
        <v>4.5</v>
      </c>
      <c r="CI223" s="168"/>
      <c r="CJ223" s="167">
        <v>7</v>
      </c>
      <c r="CK223" s="168"/>
      <c r="CL223" s="385" t="s">
        <v>834</v>
      </c>
      <c r="CM223" s="168" t="s">
        <v>2663</v>
      </c>
      <c r="CN223" s="385">
        <v>4.7</v>
      </c>
      <c r="CO223" s="168"/>
      <c r="CP223" s="167" t="s">
        <v>834</v>
      </c>
      <c r="CQ223" s="168"/>
      <c r="CR223" s="373" t="s">
        <v>834</v>
      </c>
      <c r="CS223" s="427"/>
      <c r="CT223" s="432">
        <v>6.5</v>
      </c>
      <c r="CU223" s="168" t="s">
        <v>938</v>
      </c>
      <c r="CV223" s="442" t="s">
        <v>834</v>
      </c>
      <c r="CW223" s="168" t="s">
        <v>2672</v>
      </c>
      <c r="CX223" s="168">
        <v>5</v>
      </c>
      <c r="CY223" s="168"/>
      <c r="CZ223" s="173">
        <v>4</v>
      </c>
      <c r="DA223" s="171" t="s">
        <v>2666</v>
      </c>
      <c r="DB223" s="371" t="s">
        <v>546</v>
      </c>
      <c r="DC223" s="371">
        <f t="shared" si="21"/>
        <v>21</v>
      </c>
      <c r="DD223" s="371"/>
      <c r="DE223" s="371"/>
      <c r="DF223" s="371"/>
      <c r="DG223" s="371"/>
      <c r="DH223" s="371"/>
      <c r="DI223" s="371"/>
      <c r="DJ223" s="371"/>
      <c r="DK223" s="371"/>
      <c r="DL223" s="371"/>
      <c r="DM223" s="371"/>
      <c r="DN223" s="371"/>
      <c r="DO223" s="371"/>
      <c r="DP223" s="371"/>
      <c r="DQ223" s="371"/>
      <c r="DR223" s="371"/>
    </row>
    <row r="224" spans="1:122" ht="18.75" x14ac:dyDescent="0.3">
      <c r="A224" s="325">
        <v>336611</v>
      </c>
      <c r="B224" s="326">
        <v>172</v>
      </c>
      <c r="C224" s="327" t="s">
        <v>2673</v>
      </c>
      <c r="D224" s="424" t="s">
        <v>834</v>
      </c>
      <c r="E224" s="328"/>
      <c r="F224" s="173"/>
      <c r="G224" s="173"/>
      <c r="H224" s="373">
        <v>6.5</v>
      </c>
      <c r="I224" s="427" t="s">
        <v>2652</v>
      </c>
      <c r="J224" s="173" t="s">
        <v>503</v>
      </c>
      <c r="K224" s="371"/>
      <c r="L224" s="426" t="s">
        <v>834</v>
      </c>
      <c r="M224" s="427"/>
      <c r="N224" s="173" t="s">
        <v>834</v>
      </c>
      <c r="O224" s="171"/>
      <c r="P224" s="445" t="s">
        <v>834</v>
      </c>
      <c r="Q224" s="427" t="s">
        <v>2653</v>
      </c>
      <c r="R224" s="374">
        <v>0.39800000000000002</v>
      </c>
      <c r="S224" s="168" t="s">
        <v>837</v>
      </c>
      <c r="T224" s="428">
        <v>5.75</v>
      </c>
      <c r="U224" s="376"/>
      <c r="V224" s="429">
        <v>6</v>
      </c>
      <c r="W224" s="377" t="s">
        <v>2654</v>
      </c>
      <c r="X224" s="167" t="s">
        <v>834</v>
      </c>
      <c r="Y224" s="168" t="s">
        <v>2668</v>
      </c>
      <c r="Z224" s="167">
        <v>4</v>
      </c>
      <c r="AA224" s="168"/>
      <c r="AB224" s="167" t="s">
        <v>834</v>
      </c>
      <c r="AC224" s="168"/>
      <c r="AD224" s="430" t="s">
        <v>834</v>
      </c>
      <c r="AE224" s="168"/>
      <c r="AF224" s="173" t="s">
        <v>834</v>
      </c>
      <c r="AG224" s="171"/>
      <c r="AH224" s="373">
        <v>6</v>
      </c>
      <c r="AI224" s="168"/>
      <c r="AJ224" s="425">
        <v>6.5</v>
      </c>
      <c r="AK224" s="431" t="s">
        <v>2674</v>
      </c>
      <c r="AL224" s="167" t="s">
        <v>834</v>
      </c>
      <c r="AM224" s="168"/>
      <c r="AN224" s="173" t="s">
        <v>834</v>
      </c>
      <c r="AO224" s="171"/>
      <c r="AP224" s="432" t="s">
        <v>834</v>
      </c>
      <c r="AQ224" s="168"/>
      <c r="AR224" s="173" t="s">
        <v>834</v>
      </c>
      <c r="AS224" s="171"/>
      <c r="AT224" s="173" t="s">
        <v>834</v>
      </c>
      <c r="AU224" s="171"/>
      <c r="AV224" s="381" t="s">
        <v>834</v>
      </c>
      <c r="AW224" s="168"/>
      <c r="AX224" s="433" t="s">
        <v>834</v>
      </c>
      <c r="AY224" s="427"/>
      <c r="AZ224" s="167" t="s">
        <v>834</v>
      </c>
      <c r="BA224" s="427"/>
      <c r="BB224" s="164" t="s">
        <v>834</v>
      </c>
      <c r="BC224" s="168"/>
      <c r="BD224" s="432"/>
      <c r="BE224" s="427"/>
      <c r="BF224" s="384">
        <v>5.5</v>
      </c>
      <c r="BG224" s="168"/>
      <c r="BH224" s="432" t="s">
        <v>834</v>
      </c>
      <c r="BI224" s="427" t="s">
        <v>2627</v>
      </c>
      <c r="BJ224" s="167" t="s">
        <v>546</v>
      </c>
      <c r="BK224" s="167"/>
      <c r="BL224" s="167" t="s">
        <v>834</v>
      </c>
      <c r="BM224" s="168" t="s">
        <v>546</v>
      </c>
      <c r="BN224" s="173">
        <v>5.125</v>
      </c>
      <c r="BO224" s="171"/>
      <c r="BP224" s="435" t="s">
        <v>834</v>
      </c>
      <c r="BQ224" s="436"/>
      <c r="BR224" s="167" t="s">
        <v>834</v>
      </c>
      <c r="BS224" s="168"/>
      <c r="BT224" s="167" t="s">
        <v>834</v>
      </c>
      <c r="BU224" s="168"/>
      <c r="BV224" s="373" t="s">
        <v>834</v>
      </c>
      <c r="BW224" s="168"/>
      <c r="BX224" s="437" t="s">
        <v>834</v>
      </c>
      <c r="BY224" s="171"/>
      <c r="BZ224" s="432"/>
      <c r="CA224" s="168"/>
      <c r="CB224" s="373">
        <v>6</v>
      </c>
      <c r="CC224" s="175" t="s">
        <v>2675</v>
      </c>
      <c r="CD224" s="173" t="s">
        <v>834</v>
      </c>
      <c r="CE224" s="171"/>
      <c r="CF224" s="373" t="s">
        <v>834</v>
      </c>
      <c r="CG224" s="175" t="s">
        <v>2645</v>
      </c>
      <c r="CH224" s="167">
        <v>4.5</v>
      </c>
      <c r="CI224" s="168"/>
      <c r="CJ224" s="167">
        <v>7</v>
      </c>
      <c r="CK224" s="168"/>
      <c r="CL224" s="385" t="s">
        <v>834</v>
      </c>
      <c r="CM224" s="168"/>
      <c r="CN224" s="385">
        <v>4.7</v>
      </c>
      <c r="CO224" s="168"/>
      <c r="CP224" s="167" t="s">
        <v>834</v>
      </c>
      <c r="CQ224" s="168"/>
      <c r="CR224" s="373" t="s">
        <v>834</v>
      </c>
      <c r="CS224" s="427"/>
      <c r="CT224" s="432" t="s">
        <v>834</v>
      </c>
      <c r="CU224" s="168" t="s">
        <v>2676</v>
      </c>
      <c r="CV224" s="442" t="s">
        <v>834</v>
      </c>
      <c r="CW224" s="168" t="s">
        <v>2677</v>
      </c>
      <c r="CX224" s="168">
        <v>5</v>
      </c>
      <c r="CY224" s="168"/>
      <c r="CZ224" s="173">
        <v>4</v>
      </c>
      <c r="DA224" s="171" t="s">
        <v>2666</v>
      </c>
      <c r="DB224" s="371" t="s">
        <v>546</v>
      </c>
      <c r="DC224" s="371">
        <f t="shared" si="21"/>
        <v>15</v>
      </c>
      <c r="DD224" s="371"/>
      <c r="DE224" s="371"/>
      <c r="DF224" s="371"/>
      <c r="DG224" s="371"/>
      <c r="DH224" s="371"/>
      <c r="DI224" s="371"/>
      <c r="DJ224" s="371"/>
      <c r="DK224" s="371"/>
      <c r="DL224" s="371"/>
      <c r="DM224" s="371"/>
      <c r="DN224" s="371"/>
      <c r="DO224" s="371"/>
      <c r="DP224" s="371"/>
      <c r="DQ224" s="371"/>
      <c r="DR224" s="371"/>
    </row>
    <row r="225" spans="1:122" ht="18.75" x14ac:dyDescent="0.3">
      <c r="A225" s="325">
        <v>488210</v>
      </c>
      <c r="B225" s="326">
        <v>173</v>
      </c>
      <c r="C225" s="327" t="s">
        <v>2678</v>
      </c>
      <c r="D225" s="424" t="s">
        <v>834</v>
      </c>
      <c r="E225" s="328"/>
      <c r="F225" s="173" t="s">
        <v>546</v>
      </c>
      <c r="G225" s="173"/>
      <c r="H225" s="373">
        <v>6.5</v>
      </c>
      <c r="I225" s="427" t="s">
        <v>2679</v>
      </c>
      <c r="J225" s="173" t="s">
        <v>834</v>
      </c>
      <c r="K225" s="371"/>
      <c r="L225" s="426" t="s">
        <v>834</v>
      </c>
      <c r="M225" s="427"/>
      <c r="N225" s="173" t="s">
        <v>834</v>
      </c>
      <c r="O225" s="171"/>
      <c r="P225" s="445">
        <v>6.35</v>
      </c>
      <c r="Q225" s="427"/>
      <c r="R225" s="374">
        <v>0.39800000000000002</v>
      </c>
      <c r="S225" s="168" t="s">
        <v>837</v>
      </c>
      <c r="T225" s="428" t="s">
        <v>834</v>
      </c>
      <c r="U225" s="376" t="s">
        <v>2680</v>
      </c>
      <c r="V225" s="429">
        <v>6</v>
      </c>
      <c r="W225" s="377" t="s">
        <v>2654</v>
      </c>
      <c r="X225" s="167" t="s">
        <v>834</v>
      </c>
      <c r="Y225" s="168" t="s">
        <v>2668</v>
      </c>
      <c r="Z225" s="167">
        <v>4</v>
      </c>
      <c r="AA225" s="168"/>
      <c r="AB225" s="167" t="s">
        <v>834</v>
      </c>
      <c r="AC225" s="168" t="s">
        <v>546</v>
      </c>
      <c r="AD225" s="430" t="s">
        <v>834</v>
      </c>
      <c r="AE225" s="168"/>
      <c r="AF225" s="173" t="s">
        <v>834</v>
      </c>
      <c r="AG225" s="171"/>
      <c r="AH225" s="373">
        <v>6</v>
      </c>
      <c r="AI225" s="168"/>
      <c r="AJ225" s="373" t="s">
        <v>834</v>
      </c>
      <c r="AK225" s="431"/>
      <c r="AL225" s="167" t="s">
        <v>834</v>
      </c>
      <c r="AM225" s="168"/>
      <c r="AN225" s="173">
        <v>5</v>
      </c>
      <c r="AO225" s="171"/>
      <c r="AP225" s="432" t="s">
        <v>834</v>
      </c>
      <c r="AQ225" s="168"/>
      <c r="AR225" s="173" t="s">
        <v>834</v>
      </c>
      <c r="AS225" s="171"/>
      <c r="AT225" s="173" t="s">
        <v>834</v>
      </c>
      <c r="AU225" s="171"/>
      <c r="AV225" s="381" t="s">
        <v>834</v>
      </c>
      <c r="AW225" s="168" t="s">
        <v>2669</v>
      </c>
      <c r="AX225" s="433" t="s">
        <v>834</v>
      </c>
      <c r="AY225" s="427"/>
      <c r="AZ225" s="167" t="s">
        <v>834</v>
      </c>
      <c r="BA225" s="462" t="s">
        <v>2681</v>
      </c>
      <c r="BB225" s="164" t="s">
        <v>834</v>
      </c>
      <c r="BC225" s="168"/>
      <c r="BD225" s="432" t="s">
        <v>546</v>
      </c>
      <c r="BE225" s="427"/>
      <c r="BF225" s="384" t="s">
        <v>834</v>
      </c>
      <c r="BG225" s="168"/>
      <c r="BH225" s="432" t="s">
        <v>834</v>
      </c>
      <c r="BI225" s="427" t="s">
        <v>2627</v>
      </c>
      <c r="BJ225" s="167" t="s">
        <v>546</v>
      </c>
      <c r="BK225" s="167"/>
      <c r="BL225" s="167">
        <v>6.875</v>
      </c>
      <c r="BM225" s="168"/>
      <c r="BN225" s="173">
        <v>5.125</v>
      </c>
      <c r="BO225" s="171"/>
      <c r="BP225" s="435" t="s">
        <v>834</v>
      </c>
      <c r="BQ225" s="436"/>
      <c r="BR225" s="385">
        <v>4.75</v>
      </c>
      <c r="BS225" s="168"/>
      <c r="BT225" s="167" t="s">
        <v>834</v>
      </c>
      <c r="BU225" s="168"/>
      <c r="BV225" s="373" t="s">
        <v>834</v>
      </c>
      <c r="BW225" s="168" t="s">
        <v>2682</v>
      </c>
      <c r="BX225" s="437" t="s">
        <v>834</v>
      </c>
      <c r="BY225" s="171"/>
      <c r="BZ225" s="432"/>
      <c r="CA225" s="168"/>
      <c r="CB225" s="373" t="s">
        <v>834</v>
      </c>
      <c r="CC225" s="175" t="s">
        <v>2683</v>
      </c>
      <c r="CD225" s="173" t="s">
        <v>834</v>
      </c>
      <c r="CE225" s="171" t="s">
        <v>2631</v>
      </c>
      <c r="CF225" s="373" t="s">
        <v>834</v>
      </c>
      <c r="CG225" s="175" t="s">
        <v>2684</v>
      </c>
      <c r="CH225" s="167">
        <v>4.5</v>
      </c>
      <c r="CI225" s="174"/>
      <c r="CJ225" s="167" t="s">
        <v>834</v>
      </c>
      <c r="CK225" s="168"/>
      <c r="CL225" s="385" t="s">
        <v>834</v>
      </c>
      <c r="CM225" s="168"/>
      <c r="CN225" s="385">
        <v>4.7</v>
      </c>
      <c r="CO225" s="168"/>
      <c r="CP225" s="167" t="s">
        <v>834</v>
      </c>
      <c r="CQ225" s="168"/>
      <c r="CR225" s="373" t="s">
        <v>834</v>
      </c>
      <c r="CS225" s="427" t="s">
        <v>2685</v>
      </c>
      <c r="CT225" s="432" t="s">
        <v>834</v>
      </c>
      <c r="CU225" s="168" t="s">
        <v>2686</v>
      </c>
      <c r="CV225" s="442" t="s">
        <v>834</v>
      </c>
      <c r="CW225" s="168" t="s">
        <v>2687</v>
      </c>
      <c r="CX225" s="168" t="s">
        <v>834</v>
      </c>
      <c r="CY225" s="168"/>
      <c r="CZ225" s="173" t="s">
        <v>834</v>
      </c>
      <c r="DA225" s="171" t="s">
        <v>2688</v>
      </c>
      <c r="DB225" s="371" t="s">
        <v>546</v>
      </c>
      <c r="DC225" s="371">
        <f t="shared" si="21"/>
        <v>12</v>
      </c>
      <c r="DD225" s="371"/>
      <c r="DE225" s="371"/>
      <c r="DF225" s="371"/>
      <c r="DG225" s="371"/>
      <c r="DH225" s="371"/>
      <c r="DI225" s="371"/>
      <c r="DJ225" s="371"/>
      <c r="DK225" s="371"/>
      <c r="DL225" s="371"/>
      <c r="DM225" s="371"/>
      <c r="DN225" s="371"/>
      <c r="DO225" s="371"/>
      <c r="DP225" s="371"/>
      <c r="DQ225" s="371"/>
      <c r="DR225" s="371"/>
    </row>
    <row r="226" spans="1:122" ht="18.75" x14ac:dyDescent="0.3">
      <c r="A226" s="325">
        <v>811111</v>
      </c>
      <c r="B226" s="326">
        <v>174</v>
      </c>
      <c r="C226" s="327" t="s">
        <v>2689</v>
      </c>
      <c r="D226" s="424" t="s">
        <v>834</v>
      </c>
      <c r="E226" s="328"/>
      <c r="F226" s="173"/>
      <c r="G226" s="173"/>
      <c r="H226" s="373">
        <v>6.5</v>
      </c>
      <c r="I226" s="427"/>
      <c r="J226" s="173" t="s">
        <v>834</v>
      </c>
      <c r="K226" s="371"/>
      <c r="L226" s="426" t="s">
        <v>834</v>
      </c>
      <c r="M226" s="427"/>
      <c r="N226" s="173" t="s">
        <v>834</v>
      </c>
      <c r="O226" s="171"/>
      <c r="P226" s="445">
        <v>6.35</v>
      </c>
      <c r="Q226" s="427"/>
      <c r="R226" s="374">
        <v>0.39800000000000002</v>
      </c>
      <c r="S226" s="168" t="s">
        <v>837</v>
      </c>
      <c r="T226" s="375">
        <v>5.75</v>
      </c>
      <c r="U226" s="376"/>
      <c r="V226" s="429">
        <v>6</v>
      </c>
      <c r="W226" s="377"/>
      <c r="X226" s="167" t="s">
        <v>834</v>
      </c>
      <c r="Y226" s="168" t="s">
        <v>2668</v>
      </c>
      <c r="Z226" s="167">
        <v>4</v>
      </c>
      <c r="AA226" s="168"/>
      <c r="AB226" s="167" t="s">
        <v>834</v>
      </c>
      <c r="AC226" s="168"/>
      <c r="AD226" s="430" t="s">
        <v>834</v>
      </c>
      <c r="AE226" s="168"/>
      <c r="AF226" s="173" t="s">
        <v>834</v>
      </c>
      <c r="AG226" s="171"/>
      <c r="AH226" s="373">
        <v>6</v>
      </c>
      <c r="AI226" s="168"/>
      <c r="AJ226" s="373">
        <v>6.5</v>
      </c>
      <c r="AK226" s="431" t="s">
        <v>863</v>
      </c>
      <c r="AL226" s="167" t="s">
        <v>834</v>
      </c>
      <c r="AM226" s="168"/>
      <c r="AN226" s="173">
        <v>5</v>
      </c>
      <c r="AO226" s="171"/>
      <c r="AP226" s="432" t="s">
        <v>834</v>
      </c>
      <c r="AQ226" s="168"/>
      <c r="AR226" s="173" t="s">
        <v>834</v>
      </c>
      <c r="AS226" s="171"/>
      <c r="AT226" s="173" t="s">
        <v>834</v>
      </c>
      <c r="AU226" s="171"/>
      <c r="AV226" s="381" t="s">
        <v>834</v>
      </c>
      <c r="AW226" s="168" t="s">
        <v>2669</v>
      </c>
      <c r="AX226" s="433" t="s">
        <v>834</v>
      </c>
      <c r="AY226" s="427"/>
      <c r="AZ226" s="167">
        <v>7</v>
      </c>
      <c r="BA226" s="427"/>
      <c r="BB226" s="164" t="s">
        <v>834</v>
      </c>
      <c r="BC226" s="168"/>
      <c r="BD226" s="432" t="s">
        <v>546</v>
      </c>
      <c r="BE226" s="427"/>
      <c r="BF226" s="384" t="s">
        <v>834</v>
      </c>
      <c r="BG226" s="168" t="s">
        <v>2103</v>
      </c>
      <c r="BH226" s="432" t="s">
        <v>834</v>
      </c>
      <c r="BI226" s="427" t="s">
        <v>2627</v>
      </c>
      <c r="BJ226" s="167" t="s">
        <v>546</v>
      </c>
      <c r="BK226" s="167"/>
      <c r="BL226" s="167">
        <v>6.875</v>
      </c>
      <c r="BM226" s="168"/>
      <c r="BN226" s="173">
        <v>5.125</v>
      </c>
      <c r="BO226" s="171"/>
      <c r="BP226" s="435">
        <v>4</v>
      </c>
      <c r="BQ226" s="436"/>
      <c r="BR226" s="385">
        <v>4.75</v>
      </c>
      <c r="BS226" s="168"/>
      <c r="BT226" s="167" t="s">
        <v>834</v>
      </c>
      <c r="BU226" s="168"/>
      <c r="BV226" s="441">
        <v>5.75</v>
      </c>
      <c r="BW226" s="168"/>
      <c r="BX226" s="437" t="s">
        <v>834</v>
      </c>
      <c r="BY226" s="171"/>
      <c r="BZ226" s="432"/>
      <c r="CA226" s="168"/>
      <c r="CB226" s="167">
        <v>6</v>
      </c>
      <c r="CC226" s="175"/>
      <c r="CD226" s="173" t="s">
        <v>834</v>
      </c>
      <c r="CE226" s="171"/>
      <c r="CF226" s="373" t="s">
        <v>834</v>
      </c>
      <c r="CG226" s="175" t="s">
        <v>2690</v>
      </c>
      <c r="CH226" s="167">
        <v>4.5</v>
      </c>
      <c r="CI226" s="168"/>
      <c r="CJ226" s="167">
        <v>7</v>
      </c>
      <c r="CK226" s="168"/>
      <c r="CL226" s="385" t="s">
        <v>834</v>
      </c>
      <c r="CM226" s="559"/>
      <c r="CN226" s="385">
        <v>4.7</v>
      </c>
      <c r="CO226" s="168"/>
      <c r="CP226" s="167" t="s">
        <v>834</v>
      </c>
      <c r="CQ226" s="168"/>
      <c r="CR226" s="373" t="s">
        <v>834</v>
      </c>
      <c r="CS226" s="427"/>
      <c r="CT226" s="432">
        <v>6.5</v>
      </c>
      <c r="CU226" s="168" t="s">
        <v>938</v>
      </c>
      <c r="CV226" s="442">
        <v>6</v>
      </c>
      <c r="CW226" s="168"/>
      <c r="CX226" s="168">
        <v>5</v>
      </c>
      <c r="CY226" s="168" t="s">
        <v>2691</v>
      </c>
      <c r="CZ226" s="173">
        <v>4</v>
      </c>
      <c r="DA226" s="171" t="s">
        <v>2692</v>
      </c>
      <c r="DB226" s="371" t="s">
        <v>546</v>
      </c>
      <c r="DC226" s="371">
        <f t="shared" si="21"/>
        <v>23</v>
      </c>
      <c r="DD226" s="371"/>
      <c r="DE226" s="371"/>
      <c r="DF226" s="371"/>
      <c r="DG226" s="371"/>
      <c r="DH226" s="371"/>
      <c r="DI226" s="371"/>
      <c r="DJ226" s="371"/>
      <c r="DK226" s="371"/>
      <c r="DL226" s="371"/>
      <c r="DM226" s="371"/>
      <c r="DN226" s="371"/>
      <c r="DO226" s="371"/>
      <c r="DP226" s="371"/>
      <c r="DQ226" s="371"/>
      <c r="DR226" s="371"/>
    </row>
    <row r="227" spans="1:122" ht="18.75" x14ac:dyDescent="0.3">
      <c r="A227" s="325">
        <v>81121</v>
      </c>
      <c r="B227" s="326">
        <v>175</v>
      </c>
      <c r="C227" s="327" t="s">
        <v>2693</v>
      </c>
      <c r="D227" s="424" t="s">
        <v>834</v>
      </c>
      <c r="E227" s="328"/>
      <c r="F227" s="173"/>
      <c r="G227" s="173"/>
      <c r="H227" s="373">
        <v>6.5</v>
      </c>
      <c r="I227" s="427"/>
      <c r="J227" s="173" t="s">
        <v>834</v>
      </c>
      <c r="K227" s="371"/>
      <c r="L227" s="426" t="s">
        <v>834</v>
      </c>
      <c r="M227" s="427"/>
      <c r="N227" s="173" t="s">
        <v>834</v>
      </c>
      <c r="O227" s="171"/>
      <c r="P227" s="445">
        <v>6.35</v>
      </c>
      <c r="Q227" s="427"/>
      <c r="R227" s="374">
        <v>0.39800000000000002</v>
      </c>
      <c r="S227" s="168" t="s">
        <v>837</v>
      </c>
      <c r="T227" s="428">
        <v>5.75</v>
      </c>
      <c r="U227" s="376"/>
      <c r="V227" s="429">
        <v>6</v>
      </c>
      <c r="W227" s="377"/>
      <c r="X227" s="167" t="s">
        <v>834</v>
      </c>
      <c r="Y227" s="168" t="s">
        <v>2668</v>
      </c>
      <c r="Z227" s="167">
        <v>4</v>
      </c>
      <c r="AA227" s="168"/>
      <c r="AB227" s="167" t="s">
        <v>834</v>
      </c>
      <c r="AC227" s="168"/>
      <c r="AD227" s="430" t="s">
        <v>834</v>
      </c>
      <c r="AE227" s="168"/>
      <c r="AF227" s="173" t="s">
        <v>834</v>
      </c>
      <c r="AG227" s="171"/>
      <c r="AH227" s="373">
        <v>6</v>
      </c>
      <c r="AI227" s="168"/>
      <c r="AJ227" s="373">
        <v>6.5</v>
      </c>
      <c r="AK227" s="431" t="s">
        <v>863</v>
      </c>
      <c r="AL227" s="167" t="s">
        <v>834</v>
      </c>
      <c r="AM227" s="168"/>
      <c r="AN227" s="173">
        <v>5</v>
      </c>
      <c r="AO227" s="171"/>
      <c r="AP227" s="432" t="s">
        <v>834</v>
      </c>
      <c r="AQ227" s="377" t="s">
        <v>2694</v>
      </c>
      <c r="AR227" s="173" t="s">
        <v>834</v>
      </c>
      <c r="AS227" s="171"/>
      <c r="AT227" s="173" t="s">
        <v>834</v>
      </c>
      <c r="AU227" s="171"/>
      <c r="AV227" s="381" t="s">
        <v>834</v>
      </c>
      <c r="AW227" s="168" t="s">
        <v>2669</v>
      </c>
      <c r="AX227" s="433" t="s">
        <v>834</v>
      </c>
      <c r="AY227" s="427"/>
      <c r="AZ227" s="167">
        <v>7</v>
      </c>
      <c r="BA227" s="427"/>
      <c r="BB227" s="164" t="s">
        <v>834</v>
      </c>
      <c r="BC227" s="168"/>
      <c r="BD227" s="432"/>
      <c r="BE227" s="427"/>
      <c r="BF227" s="384">
        <v>5.5</v>
      </c>
      <c r="BG227" s="168"/>
      <c r="BH227" s="432" t="s">
        <v>834</v>
      </c>
      <c r="BI227" s="427" t="s">
        <v>2627</v>
      </c>
      <c r="BJ227" s="167" t="s">
        <v>546</v>
      </c>
      <c r="BK227" s="167"/>
      <c r="BL227" s="167">
        <v>6.875</v>
      </c>
      <c r="BM227" s="168"/>
      <c r="BN227" s="173">
        <v>5.125</v>
      </c>
      <c r="BO227" s="171"/>
      <c r="BP227" s="435">
        <v>4</v>
      </c>
      <c r="BQ227" s="436"/>
      <c r="BR227" s="385">
        <v>4.75</v>
      </c>
      <c r="BS227" s="168"/>
      <c r="BT227" s="167" t="s">
        <v>834</v>
      </c>
      <c r="BU227" s="168"/>
      <c r="BV227" s="441">
        <v>5.75</v>
      </c>
      <c r="BW227" s="168"/>
      <c r="BX227" s="437" t="s">
        <v>834</v>
      </c>
      <c r="BY227" s="171"/>
      <c r="BZ227" s="432"/>
      <c r="CA227" s="168"/>
      <c r="CB227" s="167">
        <v>6</v>
      </c>
      <c r="CC227" s="175"/>
      <c r="CD227" s="173" t="s">
        <v>834</v>
      </c>
      <c r="CE227" s="171"/>
      <c r="CF227" s="373" t="s">
        <v>834</v>
      </c>
      <c r="CG227" s="175" t="s">
        <v>2695</v>
      </c>
      <c r="CH227" s="167">
        <v>4.5</v>
      </c>
      <c r="CI227" s="168"/>
      <c r="CJ227" s="167">
        <v>7</v>
      </c>
      <c r="CK227" s="168"/>
      <c r="CL227" s="385">
        <v>6.25</v>
      </c>
      <c r="CM227" s="168"/>
      <c r="CN227" s="385">
        <v>4.7</v>
      </c>
      <c r="CO227" s="168"/>
      <c r="CP227" s="167" t="s">
        <v>834</v>
      </c>
      <c r="CQ227" s="168"/>
      <c r="CR227" s="373" t="s">
        <v>834</v>
      </c>
      <c r="CS227" s="427"/>
      <c r="CT227" s="432">
        <v>6.5</v>
      </c>
      <c r="CU227" s="168" t="s">
        <v>938</v>
      </c>
      <c r="CV227" s="442">
        <v>6</v>
      </c>
      <c r="CW227" s="168"/>
      <c r="CX227" s="168">
        <v>5</v>
      </c>
      <c r="CY227" s="168"/>
      <c r="CZ227" s="173">
        <v>4</v>
      </c>
      <c r="DA227" s="171" t="s">
        <v>2696</v>
      </c>
      <c r="DB227" s="371" t="s">
        <v>546</v>
      </c>
      <c r="DC227" s="371">
        <f t="shared" si="21"/>
        <v>25</v>
      </c>
      <c r="DD227" s="371"/>
      <c r="DE227" s="371"/>
      <c r="DF227" s="371"/>
      <c r="DG227" s="371"/>
      <c r="DH227" s="371"/>
      <c r="DI227" s="371"/>
      <c r="DJ227" s="371"/>
      <c r="DK227" s="371"/>
      <c r="DL227" s="371"/>
      <c r="DM227" s="371"/>
      <c r="DN227" s="371"/>
      <c r="DO227" s="371"/>
      <c r="DP227" s="371"/>
      <c r="DQ227" s="371"/>
      <c r="DR227" s="371"/>
    </row>
    <row r="228" spans="1:122" ht="18.75" x14ac:dyDescent="0.3">
      <c r="A228" s="325">
        <v>8114</v>
      </c>
      <c r="B228" s="326">
        <v>176</v>
      </c>
      <c r="C228" s="327" t="s">
        <v>2697</v>
      </c>
      <c r="D228" s="424" t="s">
        <v>834</v>
      </c>
      <c r="E228" s="328"/>
      <c r="F228" s="173"/>
      <c r="G228" s="173"/>
      <c r="H228" s="373">
        <v>6.5</v>
      </c>
      <c r="I228" s="427" t="s">
        <v>2613</v>
      </c>
      <c r="J228" s="173" t="s">
        <v>834</v>
      </c>
      <c r="K228" s="371"/>
      <c r="L228" s="426" t="s">
        <v>834</v>
      </c>
      <c r="M228" s="427"/>
      <c r="N228" s="173" t="s">
        <v>834</v>
      </c>
      <c r="O228" s="171"/>
      <c r="P228" s="445">
        <v>6.35</v>
      </c>
      <c r="Q228" s="427"/>
      <c r="R228" s="374">
        <v>0.39800000000000002</v>
      </c>
      <c r="S228" s="168" t="s">
        <v>837</v>
      </c>
      <c r="T228" s="428">
        <v>5.75</v>
      </c>
      <c r="U228" s="376"/>
      <c r="V228" s="441">
        <v>6</v>
      </c>
      <c r="W228" s="377"/>
      <c r="X228" s="167" t="s">
        <v>834</v>
      </c>
      <c r="Y228" s="168" t="s">
        <v>2668</v>
      </c>
      <c r="Z228" s="167">
        <v>4</v>
      </c>
      <c r="AA228" s="168"/>
      <c r="AB228" s="167" t="s">
        <v>834</v>
      </c>
      <c r="AC228" s="168"/>
      <c r="AD228" s="430" t="s">
        <v>834</v>
      </c>
      <c r="AE228" s="168"/>
      <c r="AF228" s="173" t="s">
        <v>834</v>
      </c>
      <c r="AG228" s="171"/>
      <c r="AH228" s="373">
        <v>6</v>
      </c>
      <c r="AI228" s="168"/>
      <c r="AJ228" s="373">
        <v>6.5</v>
      </c>
      <c r="AK228" s="431" t="s">
        <v>863</v>
      </c>
      <c r="AL228" s="167" t="s">
        <v>834</v>
      </c>
      <c r="AM228" s="168"/>
      <c r="AN228" s="173">
        <v>5</v>
      </c>
      <c r="AO228" s="171"/>
      <c r="AP228" s="432" t="s">
        <v>834</v>
      </c>
      <c r="AQ228" s="168"/>
      <c r="AR228" s="173" t="s">
        <v>834</v>
      </c>
      <c r="AS228" s="171"/>
      <c r="AT228" s="173" t="s">
        <v>834</v>
      </c>
      <c r="AU228" s="171"/>
      <c r="AV228" s="381" t="s">
        <v>834</v>
      </c>
      <c r="AW228" s="168" t="s">
        <v>2669</v>
      </c>
      <c r="AX228" s="433" t="s">
        <v>834</v>
      </c>
      <c r="AY228" s="427"/>
      <c r="AZ228" s="167">
        <v>7</v>
      </c>
      <c r="BA228" s="427"/>
      <c r="BB228" s="164" t="s">
        <v>834</v>
      </c>
      <c r="BC228" s="168"/>
      <c r="BD228" s="432"/>
      <c r="BE228" s="427"/>
      <c r="BF228" s="384">
        <v>5.5</v>
      </c>
      <c r="BG228" s="168"/>
      <c r="BH228" s="432" t="s">
        <v>834</v>
      </c>
      <c r="BI228" s="427" t="s">
        <v>2627</v>
      </c>
      <c r="BJ228" s="167" t="s">
        <v>546</v>
      </c>
      <c r="BK228" s="167"/>
      <c r="BL228" s="167">
        <v>6.875</v>
      </c>
      <c r="BM228" s="168"/>
      <c r="BN228" s="173">
        <v>5.125</v>
      </c>
      <c r="BO228" s="171"/>
      <c r="BP228" s="435">
        <v>4</v>
      </c>
      <c r="BQ228" s="436"/>
      <c r="BR228" s="385">
        <v>4.75</v>
      </c>
      <c r="BS228" s="168"/>
      <c r="BT228" s="167" t="s">
        <v>834</v>
      </c>
      <c r="BU228" s="168"/>
      <c r="BV228" s="441">
        <v>5.75</v>
      </c>
      <c r="BW228" s="168"/>
      <c r="BX228" s="437" t="s">
        <v>834</v>
      </c>
      <c r="BY228" s="171"/>
      <c r="BZ228" s="432"/>
      <c r="CA228" s="168"/>
      <c r="CB228" s="167">
        <v>6</v>
      </c>
      <c r="CC228" s="175"/>
      <c r="CD228" s="173" t="s">
        <v>834</v>
      </c>
      <c r="CE228" s="171"/>
      <c r="CF228" s="373" t="s">
        <v>834</v>
      </c>
      <c r="CG228" s="175" t="s">
        <v>2695</v>
      </c>
      <c r="CH228" s="167">
        <v>4.5</v>
      </c>
      <c r="CI228" s="168"/>
      <c r="CJ228" s="167">
        <v>7</v>
      </c>
      <c r="CK228" s="168"/>
      <c r="CL228" s="445">
        <v>6.25</v>
      </c>
      <c r="CM228" s="461"/>
      <c r="CN228" s="385">
        <v>4.7</v>
      </c>
      <c r="CO228" s="168"/>
      <c r="CP228" s="167" t="s">
        <v>834</v>
      </c>
      <c r="CQ228" s="168"/>
      <c r="CR228" s="373" t="s">
        <v>834</v>
      </c>
      <c r="CS228" s="427"/>
      <c r="CT228" s="432">
        <v>6.5</v>
      </c>
      <c r="CU228" s="168" t="s">
        <v>938</v>
      </c>
      <c r="CV228" s="442">
        <v>6</v>
      </c>
      <c r="CW228" s="168"/>
      <c r="CX228" s="168">
        <v>5</v>
      </c>
      <c r="CY228" s="168"/>
      <c r="CZ228" s="173">
        <v>4</v>
      </c>
      <c r="DA228" s="171" t="s">
        <v>2696</v>
      </c>
      <c r="DB228" s="371" t="s">
        <v>546</v>
      </c>
      <c r="DC228" s="371">
        <f t="shared" si="21"/>
        <v>25</v>
      </c>
      <c r="DD228" s="371"/>
      <c r="DE228" s="371"/>
      <c r="DF228" s="371"/>
      <c r="DG228" s="371"/>
      <c r="DH228" s="371"/>
      <c r="DI228" s="371"/>
      <c r="DJ228" s="371"/>
      <c r="DK228" s="371"/>
      <c r="DL228" s="371"/>
      <c r="DM228" s="371"/>
      <c r="DN228" s="371"/>
      <c r="DO228" s="371"/>
      <c r="DP228" s="371"/>
      <c r="DQ228" s="371"/>
      <c r="DR228" s="371"/>
    </row>
    <row r="229" spans="1:122" ht="18.75" x14ac:dyDescent="0.3">
      <c r="A229" s="325">
        <v>236118</v>
      </c>
      <c r="B229" s="326">
        <v>177</v>
      </c>
      <c r="C229" s="327" t="s">
        <v>2698</v>
      </c>
      <c r="D229" s="424" t="s">
        <v>834</v>
      </c>
      <c r="E229" s="328"/>
      <c r="F229" s="173"/>
      <c r="G229" s="173"/>
      <c r="H229" s="373" t="s">
        <v>834</v>
      </c>
      <c r="I229" s="427"/>
      <c r="J229" s="173">
        <v>5.6</v>
      </c>
      <c r="K229" s="371" t="s">
        <v>911</v>
      </c>
      <c r="L229" s="426" t="s">
        <v>834</v>
      </c>
      <c r="M229" s="427"/>
      <c r="N229" s="173" t="s">
        <v>834</v>
      </c>
      <c r="O229" s="171"/>
      <c r="P229" s="445">
        <v>6.35</v>
      </c>
      <c r="Q229" s="427" t="s">
        <v>2699</v>
      </c>
      <c r="R229" s="374">
        <v>0.6472</v>
      </c>
      <c r="S229" s="168" t="s">
        <v>837</v>
      </c>
      <c r="T229" s="428">
        <v>5.75</v>
      </c>
      <c r="U229" s="376"/>
      <c r="V229" s="441" t="s">
        <v>834</v>
      </c>
      <c r="W229" s="377" t="s">
        <v>2700</v>
      </c>
      <c r="X229" s="167" t="s">
        <v>834</v>
      </c>
      <c r="Y229" s="168" t="s">
        <v>2668</v>
      </c>
      <c r="Z229" s="167">
        <v>4</v>
      </c>
      <c r="AA229" s="168" t="s">
        <v>2701</v>
      </c>
      <c r="AB229" s="167" t="s">
        <v>834</v>
      </c>
      <c r="AC229" s="168"/>
      <c r="AD229" s="430" t="s">
        <v>834</v>
      </c>
      <c r="AE229" s="168"/>
      <c r="AF229" s="173" t="s">
        <v>834</v>
      </c>
      <c r="AG229" s="171"/>
      <c r="AH229" s="373">
        <v>6</v>
      </c>
      <c r="AI229" s="168" t="s">
        <v>2702</v>
      </c>
      <c r="AJ229" s="373">
        <v>6.5</v>
      </c>
      <c r="AK229" s="431" t="s">
        <v>2703</v>
      </c>
      <c r="AL229" s="167" t="s">
        <v>834</v>
      </c>
      <c r="AM229" s="168"/>
      <c r="AN229" s="173" t="s">
        <v>834</v>
      </c>
      <c r="AO229" s="171"/>
      <c r="AP229" s="432" t="s">
        <v>834</v>
      </c>
      <c r="AQ229" s="168"/>
      <c r="AR229" s="173" t="s">
        <v>834</v>
      </c>
      <c r="AS229" s="171"/>
      <c r="AT229" s="173" t="s">
        <v>834</v>
      </c>
      <c r="AU229" s="171"/>
      <c r="AV229" s="381" t="s">
        <v>834</v>
      </c>
      <c r="AW229" s="168"/>
      <c r="AX229" s="433" t="s">
        <v>834</v>
      </c>
      <c r="AY229" s="427"/>
      <c r="AZ229" s="373" t="s">
        <v>834</v>
      </c>
      <c r="BA229" s="427" t="s">
        <v>2704</v>
      </c>
      <c r="BB229" s="164" t="s">
        <v>834</v>
      </c>
      <c r="BC229" s="168"/>
      <c r="BD229" s="432"/>
      <c r="BE229" s="427"/>
      <c r="BF229" s="558" t="s">
        <v>834</v>
      </c>
      <c r="BG229" s="168"/>
      <c r="BH229" s="432" t="s">
        <v>834</v>
      </c>
      <c r="BI229" s="427" t="s">
        <v>2627</v>
      </c>
      <c r="BJ229" s="167" t="s">
        <v>546</v>
      </c>
      <c r="BK229" s="167"/>
      <c r="BL229" s="167">
        <v>6.875</v>
      </c>
      <c r="BM229" s="168"/>
      <c r="BN229" s="173">
        <v>5.125</v>
      </c>
      <c r="BO229" s="171" t="s">
        <v>546</v>
      </c>
      <c r="BP229" s="435">
        <v>4</v>
      </c>
      <c r="BQ229" s="436" t="s">
        <v>2705</v>
      </c>
      <c r="BR229" s="167" t="s">
        <v>834</v>
      </c>
      <c r="BS229" s="168" t="s">
        <v>2706</v>
      </c>
      <c r="BT229" s="167" t="s">
        <v>834</v>
      </c>
      <c r="BU229" s="168"/>
      <c r="BV229" s="373" t="s">
        <v>834</v>
      </c>
      <c r="BW229" s="168"/>
      <c r="BX229" s="437" t="s">
        <v>834</v>
      </c>
      <c r="BY229" s="171"/>
      <c r="BZ229" s="432"/>
      <c r="CA229" s="168"/>
      <c r="CB229" s="167" t="s">
        <v>834</v>
      </c>
      <c r="CC229" s="175"/>
      <c r="CD229" s="173" t="s">
        <v>834</v>
      </c>
      <c r="CE229" s="171"/>
      <c r="CF229" s="373" t="s">
        <v>834</v>
      </c>
      <c r="CG229" s="175"/>
      <c r="CH229" s="167">
        <v>2</v>
      </c>
      <c r="CI229" s="168" t="s">
        <v>2707</v>
      </c>
      <c r="CJ229" s="167" t="s">
        <v>834</v>
      </c>
      <c r="CK229" s="168"/>
      <c r="CL229" s="445">
        <v>6.25</v>
      </c>
      <c r="CM229" s="168" t="s">
        <v>2708</v>
      </c>
      <c r="CN229" s="385" t="s">
        <v>834</v>
      </c>
      <c r="CO229" s="168"/>
      <c r="CP229" s="167" t="s">
        <v>834</v>
      </c>
      <c r="CQ229" s="168"/>
      <c r="CR229" s="373" t="s">
        <v>834</v>
      </c>
      <c r="CS229" s="427"/>
      <c r="CT229" s="432">
        <v>6.5</v>
      </c>
      <c r="CU229" s="168" t="s">
        <v>938</v>
      </c>
      <c r="CV229" s="442">
        <v>6</v>
      </c>
      <c r="CW229" s="168" t="s">
        <v>2709</v>
      </c>
      <c r="CX229" s="168" t="s">
        <v>834</v>
      </c>
      <c r="CY229" s="168" t="s">
        <v>2710</v>
      </c>
      <c r="CZ229" s="173" t="s">
        <v>834</v>
      </c>
      <c r="DA229" s="171" t="s">
        <v>2711</v>
      </c>
      <c r="DB229" s="371" t="s">
        <v>546</v>
      </c>
      <c r="DC229" s="371">
        <f t="shared" si="21"/>
        <v>14</v>
      </c>
      <c r="DD229" s="371"/>
      <c r="DE229" s="371"/>
      <c r="DF229" s="371"/>
      <c r="DG229" s="371"/>
      <c r="DH229" s="371"/>
      <c r="DI229" s="371"/>
      <c r="DJ229" s="371"/>
      <c r="DK229" s="371"/>
      <c r="DL229" s="371"/>
      <c r="DM229" s="371"/>
      <c r="DN229" s="371"/>
      <c r="DO229" s="371"/>
      <c r="DP229" s="371"/>
      <c r="DQ229" s="371"/>
      <c r="DR229" s="371"/>
    </row>
    <row r="230" spans="1:122" ht="18.75" x14ac:dyDescent="0.3">
      <c r="A230" s="325"/>
      <c r="B230" s="326">
        <v>178</v>
      </c>
      <c r="C230" s="327" t="s">
        <v>2712</v>
      </c>
      <c r="D230" s="424" t="s">
        <v>834</v>
      </c>
      <c r="E230" s="328"/>
      <c r="F230" s="173"/>
      <c r="G230" s="173"/>
      <c r="H230" s="373" t="s">
        <v>834</v>
      </c>
      <c r="I230" s="427" t="s">
        <v>2713</v>
      </c>
      <c r="J230" s="173" t="s">
        <v>834</v>
      </c>
      <c r="K230" s="371" t="s">
        <v>2714</v>
      </c>
      <c r="L230" s="426" t="s">
        <v>834</v>
      </c>
      <c r="M230" s="427"/>
      <c r="N230" s="173" t="s">
        <v>834</v>
      </c>
      <c r="O230" s="171"/>
      <c r="P230" s="445" t="s">
        <v>834</v>
      </c>
      <c r="Q230" s="427" t="s">
        <v>2715</v>
      </c>
      <c r="R230" s="374">
        <v>0.39800000000000002</v>
      </c>
      <c r="S230" s="168" t="s">
        <v>837</v>
      </c>
      <c r="T230" s="428">
        <v>5.75</v>
      </c>
      <c r="U230" s="376" t="s">
        <v>2716</v>
      </c>
      <c r="V230" s="441" t="s">
        <v>834</v>
      </c>
      <c r="W230" s="377"/>
      <c r="X230" s="167" t="s">
        <v>834</v>
      </c>
      <c r="Y230" s="168"/>
      <c r="Z230" s="167">
        <v>4</v>
      </c>
      <c r="AA230" s="168"/>
      <c r="AB230" s="167" t="s">
        <v>834</v>
      </c>
      <c r="AC230" s="168"/>
      <c r="AD230" s="430" t="s">
        <v>834</v>
      </c>
      <c r="AE230" s="168"/>
      <c r="AF230" s="173" t="s">
        <v>834</v>
      </c>
      <c r="AG230" s="171"/>
      <c r="AH230" s="373" t="s">
        <v>834</v>
      </c>
      <c r="AI230" s="168"/>
      <c r="AJ230" s="373" t="s">
        <v>834</v>
      </c>
      <c r="AK230" s="431" t="s">
        <v>2717</v>
      </c>
      <c r="AL230" s="167" t="s">
        <v>834</v>
      </c>
      <c r="AM230" s="168"/>
      <c r="AN230" s="173">
        <v>5</v>
      </c>
      <c r="AO230" s="171" t="s">
        <v>2718</v>
      </c>
      <c r="AP230" s="432" t="s">
        <v>834</v>
      </c>
      <c r="AQ230" s="168"/>
      <c r="AR230" s="173" t="s">
        <v>834</v>
      </c>
      <c r="AS230" s="171"/>
      <c r="AT230" s="173" t="s">
        <v>834</v>
      </c>
      <c r="AU230" s="171"/>
      <c r="AV230" s="381" t="s">
        <v>834</v>
      </c>
      <c r="AW230" s="168"/>
      <c r="AX230" s="433" t="s">
        <v>834</v>
      </c>
      <c r="AY230" s="427"/>
      <c r="AZ230" s="373" t="s">
        <v>834</v>
      </c>
      <c r="BA230" s="462" t="s">
        <v>2719</v>
      </c>
      <c r="BB230" s="164" t="s">
        <v>834</v>
      </c>
      <c r="BC230" s="168"/>
      <c r="BD230" s="432"/>
      <c r="BE230" s="427"/>
      <c r="BF230" s="384" t="s">
        <v>834</v>
      </c>
      <c r="BG230" s="168" t="s">
        <v>2720</v>
      </c>
      <c r="BH230" s="432" t="s">
        <v>834</v>
      </c>
      <c r="BI230" s="427"/>
      <c r="BJ230" s="167"/>
      <c r="BK230" s="167"/>
      <c r="BL230" s="167" t="s">
        <v>834</v>
      </c>
      <c r="BM230" s="168" t="s">
        <v>2721</v>
      </c>
      <c r="BN230" s="173" t="s">
        <v>834</v>
      </c>
      <c r="BO230" s="171" t="s">
        <v>2722</v>
      </c>
      <c r="BP230" s="435" t="s">
        <v>834</v>
      </c>
      <c r="BQ230" s="436"/>
      <c r="BR230" s="167" t="s">
        <v>834</v>
      </c>
      <c r="BS230" s="168" t="s">
        <v>2723</v>
      </c>
      <c r="BT230" s="167" t="s">
        <v>834</v>
      </c>
      <c r="BU230" s="168"/>
      <c r="BV230" s="373" t="s">
        <v>834</v>
      </c>
      <c r="BW230" s="168" t="s">
        <v>2724</v>
      </c>
      <c r="BX230" s="437" t="s">
        <v>834</v>
      </c>
      <c r="BY230" s="171"/>
      <c r="BZ230" s="432"/>
      <c r="CA230" s="168"/>
      <c r="CB230" s="167">
        <v>6</v>
      </c>
      <c r="CC230" s="175"/>
      <c r="CD230" s="173" t="s">
        <v>834</v>
      </c>
      <c r="CE230" s="171"/>
      <c r="CF230" s="373" t="s">
        <v>834</v>
      </c>
      <c r="CG230" s="175"/>
      <c r="CH230" s="167" t="s">
        <v>834</v>
      </c>
      <c r="CI230" s="168" t="s">
        <v>2725</v>
      </c>
      <c r="CJ230" s="167" t="s">
        <v>834</v>
      </c>
      <c r="CK230" s="168"/>
      <c r="CL230" s="445" t="s">
        <v>834</v>
      </c>
      <c r="CM230" s="168" t="s">
        <v>2726</v>
      </c>
      <c r="CN230" s="385" t="s">
        <v>834</v>
      </c>
      <c r="CO230" s="168"/>
      <c r="CP230" s="167" t="s">
        <v>834</v>
      </c>
      <c r="CQ230" s="168"/>
      <c r="CR230" s="373" t="s">
        <v>834</v>
      </c>
      <c r="CS230" s="427"/>
      <c r="CT230" s="432">
        <v>6.5</v>
      </c>
      <c r="CU230" s="168" t="s">
        <v>938</v>
      </c>
      <c r="CV230" s="432" t="s">
        <v>834</v>
      </c>
      <c r="CW230" s="168" t="s">
        <v>2727</v>
      </c>
      <c r="CX230" s="168" t="s">
        <v>834</v>
      </c>
      <c r="CY230" s="168" t="s">
        <v>2728</v>
      </c>
      <c r="CZ230" s="173">
        <v>4</v>
      </c>
      <c r="DA230" s="171" t="s">
        <v>2729</v>
      </c>
      <c r="DB230" s="371" t="s">
        <v>546</v>
      </c>
      <c r="DC230" s="371">
        <f t="shared" si="21"/>
        <v>7</v>
      </c>
      <c r="DD230" s="371"/>
      <c r="DE230" s="371"/>
      <c r="DF230" s="371"/>
      <c r="DG230" s="371"/>
      <c r="DH230" s="371"/>
      <c r="DI230" s="371"/>
      <c r="DJ230" s="371"/>
      <c r="DK230" s="371"/>
      <c r="DL230" s="371"/>
      <c r="DM230" s="371"/>
      <c r="DN230" s="371"/>
      <c r="DO230" s="371"/>
      <c r="DP230" s="371"/>
      <c r="DQ230" s="371"/>
      <c r="DR230" s="371"/>
    </row>
    <row r="231" spans="1:122" ht="18.75" x14ac:dyDescent="0.3">
      <c r="A231" s="325">
        <v>524128</v>
      </c>
      <c r="B231" s="326">
        <v>179</v>
      </c>
      <c r="C231" s="327" t="s">
        <v>2730</v>
      </c>
      <c r="D231" s="424" t="s">
        <v>834</v>
      </c>
      <c r="E231" s="328" t="s">
        <v>2731</v>
      </c>
      <c r="F231" s="173" t="s">
        <v>546</v>
      </c>
      <c r="G231" s="173"/>
      <c r="H231" s="373">
        <v>6.5</v>
      </c>
      <c r="I231" s="427" t="s">
        <v>2732</v>
      </c>
      <c r="J231" s="173" t="s">
        <v>834</v>
      </c>
      <c r="K231" s="371" t="s">
        <v>2733</v>
      </c>
      <c r="L231" s="426">
        <v>7.25</v>
      </c>
      <c r="M231" s="427" t="s">
        <v>2734</v>
      </c>
      <c r="N231" s="173">
        <v>2.9</v>
      </c>
      <c r="O231" s="171" t="s">
        <v>2735</v>
      </c>
      <c r="P231" s="445">
        <v>6.35</v>
      </c>
      <c r="Q231" s="427"/>
      <c r="R231" s="374">
        <v>0.39800000000000002</v>
      </c>
      <c r="S231" s="168" t="s">
        <v>837</v>
      </c>
      <c r="T231" s="428">
        <v>5.75</v>
      </c>
      <c r="U231" s="376" t="s">
        <v>2716</v>
      </c>
      <c r="V231" s="441">
        <v>6</v>
      </c>
      <c r="W231" s="377"/>
      <c r="X231" s="167" t="s">
        <v>834</v>
      </c>
      <c r="Y231" s="168"/>
      <c r="Z231" s="167">
        <v>4</v>
      </c>
      <c r="AA231" s="168"/>
      <c r="AB231" s="167">
        <v>6</v>
      </c>
      <c r="AC231" s="168" t="s">
        <v>2736</v>
      </c>
      <c r="AD231" s="430">
        <v>6.25</v>
      </c>
      <c r="AE231" s="168"/>
      <c r="AF231" s="173">
        <v>7</v>
      </c>
      <c r="AG231" s="171" t="s">
        <v>2737</v>
      </c>
      <c r="AH231" s="373">
        <v>6</v>
      </c>
      <c r="AI231" s="168"/>
      <c r="AJ231" s="373">
        <v>6.5</v>
      </c>
      <c r="AK231" s="431" t="s">
        <v>863</v>
      </c>
      <c r="AL231" s="167" t="s">
        <v>834</v>
      </c>
      <c r="AM231" s="168" t="s">
        <v>2738</v>
      </c>
      <c r="AN231" s="173">
        <v>5</v>
      </c>
      <c r="AO231" s="171" t="s">
        <v>2739</v>
      </c>
      <c r="AP231" s="432" t="s">
        <v>834</v>
      </c>
      <c r="AQ231" s="168" t="s">
        <v>2740</v>
      </c>
      <c r="AR231" s="173" t="s">
        <v>834</v>
      </c>
      <c r="AS231" s="171" t="s">
        <v>2741</v>
      </c>
      <c r="AT231" s="173" t="s">
        <v>834</v>
      </c>
      <c r="AU231" s="171" t="s">
        <v>2742</v>
      </c>
      <c r="AV231" s="381" t="s">
        <v>834</v>
      </c>
      <c r="AW231" s="168" t="s">
        <v>2743</v>
      </c>
      <c r="AX231" s="433" t="s">
        <v>834</v>
      </c>
      <c r="AY231" s="427" t="s">
        <v>2744</v>
      </c>
      <c r="AZ231" s="373">
        <v>7</v>
      </c>
      <c r="BA231" s="427"/>
      <c r="BB231" s="164" t="s">
        <v>834</v>
      </c>
      <c r="BC231" s="168" t="s">
        <v>2745</v>
      </c>
      <c r="BD231" s="432" t="s">
        <v>546</v>
      </c>
      <c r="BE231" s="427"/>
      <c r="BF231" s="384">
        <v>5.5</v>
      </c>
      <c r="BG231" s="168"/>
      <c r="BH231" s="432">
        <v>6.85</v>
      </c>
      <c r="BI231" s="427" t="s">
        <v>2746</v>
      </c>
      <c r="BJ231" s="167" t="s">
        <v>546</v>
      </c>
      <c r="BK231" s="167"/>
      <c r="BL231" s="167">
        <v>6.875</v>
      </c>
      <c r="BM231" s="168"/>
      <c r="BN231" s="173">
        <v>5.125</v>
      </c>
      <c r="BO231" s="171"/>
      <c r="BP231" s="435">
        <v>4</v>
      </c>
      <c r="BQ231" s="436"/>
      <c r="BR231" s="385">
        <v>4.75</v>
      </c>
      <c r="BS231" s="168" t="s">
        <v>2747</v>
      </c>
      <c r="BT231" s="167" t="s">
        <v>834</v>
      </c>
      <c r="BU231" s="168" t="s">
        <v>2748</v>
      </c>
      <c r="BV231" s="441">
        <v>5.75</v>
      </c>
      <c r="BW231" s="168"/>
      <c r="BX231" s="437" t="s">
        <v>834</v>
      </c>
      <c r="BY231" s="171" t="s">
        <v>2749</v>
      </c>
      <c r="BZ231" s="432" t="s">
        <v>546</v>
      </c>
      <c r="CA231" s="168"/>
      <c r="CB231" s="167">
        <v>6</v>
      </c>
      <c r="CC231" s="175"/>
      <c r="CD231" s="173" t="s">
        <v>834</v>
      </c>
      <c r="CE231" s="171"/>
      <c r="CF231" s="373">
        <v>6</v>
      </c>
      <c r="CG231" s="175" t="s">
        <v>2750</v>
      </c>
      <c r="CH231" s="167">
        <v>4.5</v>
      </c>
      <c r="CI231" s="168"/>
      <c r="CJ231" s="167">
        <v>7</v>
      </c>
      <c r="CK231" s="168"/>
      <c r="CL231" s="445">
        <v>6.25</v>
      </c>
      <c r="CM231" s="168"/>
      <c r="CN231" s="385">
        <v>4.7</v>
      </c>
      <c r="CO231" s="168" t="s">
        <v>2751</v>
      </c>
      <c r="CP231" s="167" t="s">
        <v>834</v>
      </c>
      <c r="CQ231" s="168"/>
      <c r="CR231" s="373">
        <v>5.3</v>
      </c>
      <c r="CS231" s="427" t="s">
        <v>2752</v>
      </c>
      <c r="CT231" s="432">
        <v>6.5</v>
      </c>
      <c r="CU231" s="168" t="s">
        <v>938</v>
      </c>
      <c r="CV231" s="432">
        <v>6</v>
      </c>
      <c r="CW231" s="168"/>
      <c r="CX231" s="168">
        <v>5</v>
      </c>
      <c r="CY231" s="168" t="s">
        <v>2753</v>
      </c>
      <c r="CZ231" s="173">
        <v>4</v>
      </c>
      <c r="DA231" s="171" t="s">
        <v>2754</v>
      </c>
      <c r="DB231" s="371" t="s">
        <v>546</v>
      </c>
      <c r="DC231" s="371">
        <f t="shared" si="21"/>
        <v>33</v>
      </c>
      <c r="DD231" s="371"/>
      <c r="DE231" s="371"/>
      <c r="DF231" s="371"/>
      <c r="DG231" s="371"/>
      <c r="DH231" s="371"/>
      <c r="DI231" s="371"/>
      <c r="DJ231" s="371"/>
      <c r="DK231" s="371"/>
      <c r="DL231" s="371"/>
      <c r="DM231" s="371"/>
      <c r="DN231" s="371"/>
      <c r="DO231" s="371"/>
      <c r="DP231" s="371"/>
      <c r="DQ231" s="371"/>
      <c r="DR231" s="371"/>
    </row>
    <row r="232" spans="1:122" ht="18.75" x14ac:dyDescent="0.3">
      <c r="A232" s="325"/>
      <c r="B232" s="326">
        <v>180</v>
      </c>
      <c r="C232" s="327" t="s">
        <v>2755</v>
      </c>
      <c r="D232" s="424" t="s">
        <v>834</v>
      </c>
      <c r="E232" s="328"/>
      <c r="F232" s="173" t="s">
        <v>546</v>
      </c>
      <c r="G232" s="173"/>
      <c r="H232" s="373" t="s">
        <v>834</v>
      </c>
      <c r="I232" s="427" t="s">
        <v>2756</v>
      </c>
      <c r="J232" s="173" t="s">
        <v>834</v>
      </c>
      <c r="K232" s="371" t="s">
        <v>2757</v>
      </c>
      <c r="L232" s="426" t="s">
        <v>834</v>
      </c>
      <c r="M232" s="427"/>
      <c r="N232" s="173">
        <v>2.9</v>
      </c>
      <c r="O232" s="171" t="s">
        <v>2735</v>
      </c>
      <c r="P232" s="445" t="s">
        <v>834</v>
      </c>
      <c r="Q232" s="427" t="s">
        <v>1954</v>
      </c>
      <c r="R232" s="374">
        <v>0.39800000000000002</v>
      </c>
      <c r="S232" s="168" t="s">
        <v>837</v>
      </c>
      <c r="T232" s="428" t="s">
        <v>834</v>
      </c>
      <c r="U232" s="376" t="s">
        <v>2758</v>
      </c>
      <c r="V232" s="441">
        <v>6</v>
      </c>
      <c r="W232" s="377"/>
      <c r="X232" s="167" t="s">
        <v>834</v>
      </c>
      <c r="Y232" s="168" t="s">
        <v>2759</v>
      </c>
      <c r="Z232" s="167">
        <v>4</v>
      </c>
      <c r="AA232" s="168"/>
      <c r="AB232" s="167" t="s">
        <v>834</v>
      </c>
      <c r="AC232" s="168" t="s">
        <v>2760</v>
      </c>
      <c r="AD232" s="430" t="s">
        <v>834</v>
      </c>
      <c r="AE232" s="168"/>
      <c r="AF232" s="173" t="s">
        <v>834</v>
      </c>
      <c r="AG232" s="171" t="s">
        <v>2761</v>
      </c>
      <c r="AH232" s="373" t="s">
        <v>834</v>
      </c>
      <c r="AI232" s="168" t="s">
        <v>2762</v>
      </c>
      <c r="AJ232" s="373">
        <v>6.5</v>
      </c>
      <c r="AK232" s="431" t="s">
        <v>863</v>
      </c>
      <c r="AL232" s="167" t="s">
        <v>834</v>
      </c>
      <c r="AM232" s="168" t="s">
        <v>2622</v>
      </c>
      <c r="AN232" s="173">
        <v>5</v>
      </c>
      <c r="AO232" s="171" t="s">
        <v>2763</v>
      </c>
      <c r="AP232" s="432" t="s">
        <v>834</v>
      </c>
      <c r="AQ232" s="377" t="s">
        <v>2764</v>
      </c>
      <c r="AR232" s="173" t="s">
        <v>834</v>
      </c>
      <c r="AS232" s="171" t="s">
        <v>2765</v>
      </c>
      <c r="AT232" s="173" t="s">
        <v>834</v>
      </c>
      <c r="AU232" s="171"/>
      <c r="AV232" s="381" t="s">
        <v>834</v>
      </c>
      <c r="AW232" s="168" t="s">
        <v>2766</v>
      </c>
      <c r="AX232" s="433">
        <v>6.875</v>
      </c>
      <c r="AY232" s="427" t="s">
        <v>2767</v>
      </c>
      <c r="AZ232" s="373">
        <v>7</v>
      </c>
      <c r="BA232" s="427" t="s">
        <v>2768</v>
      </c>
      <c r="BB232" s="164" t="s">
        <v>834</v>
      </c>
      <c r="BC232" s="168" t="s">
        <v>2769</v>
      </c>
      <c r="BD232" s="432" t="s">
        <v>546</v>
      </c>
      <c r="BE232" s="427"/>
      <c r="BF232" s="384">
        <v>5.5</v>
      </c>
      <c r="BG232" s="168"/>
      <c r="BH232" s="432" t="s">
        <v>834</v>
      </c>
      <c r="BI232" s="427" t="s">
        <v>1954</v>
      </c>
      <c r="BJ232" s="167" t="s">
        <v>546</v>
      </c>
      <c r="BK232" s="167"/>
      <c r="BL232" s="167">
        <v>6.875</v>
      </c>
      <c r="BM232" s="168" t="s">
        <v>2770</v>
      </c>
      <c r="BN232" s="173">
        <v>5.125</v>
      </c>
      <c r="BO232" s="171"/>
      <c r="BP232" s="435">
        <v>4</v>
      </c>
      <c r="BQ232" s="436" t="s">
        <v>2771</v>
      </c>
      <c r="BR232" s="385">
        <v>4.75</v>
      </c>
      <c r="BS232" s="168" t="s">
        <v>2772</v>
      </c>
      <c r="BT232" s="167" t="s">
        <v>834</v>
      </c>
      <c r="BU232" s="168" t="s">
        <v>2773</v>
      </c>
      <c r="BV232" s="441">
        <v>5.75</v>
      </c>
      <c r="BW232" s="168" t="s">
        <v>2629</v>
      </c>
      <c r="BX232" s="437" t="s">
        <v>834</v>
      </c>
      <c r="BY232" s="171" t="s">
        <v>2630</v>
      </c>
      <c r="BZ232" s="432" t="s">
        <v>546</v>
      </c>
      <c r="CA232" s="168"/>
      <c r="CB232" s="373">
        <v>6</v>
      </c>
      <c r="CC232" s="175" t="s">
        <v>2607</v>
      </c>
      <c r="CD232" s="173" t="s">
        <v>834</v>
      </c>
      <c r="CE232" s="171" t="s">
        <v>1954</v>
      </c>
      <c r="CF232" s="373" t="s">
        <v>834</v>
      </c>
      <c r="CG232" s="175" t="s">
        <v>2774</v>
      </c>
      <c r="CH232" s="167">
        <v>4.5</v>
      </c>
      <c r="CI232" s="168" t="s">
        <v>2775</v>
      </c>
      <c r="CJ232" s="167">
        <v>7</v>
      </c>
      <c r="CK232" s="444" t="s">
        <v>2776</v>
      </c>
      <c r="CL232" s="445">
        <v>6.25</v>
      </c>
      <c r="CM232" s="168" t="s">
        <v>2777</v>
      </c>
      <c r="CN232" s="385">
        <v>4.7</v>
      </c>
      <c r="CO232" s="168" t="s">
        <v>2778</v>
      </c>
      <c r="CP232" s="167" t="s">
        <v>834</v>
      </c>
      <c r="CQ232" s="168" t="s">
        <v>2779</v>
      </c>
      <c r="CR232" s="373" t="s">
        <v>834</v>
      </c>
      <c r="CS232" s="427" t="s">
        <v>2780</v>
      </c>
      <c r="CT232" s="432">
        <v>6.5</v>
      </c>
      <c r="CU232" s="168" t="s">
        <v>938</v>
      </c>
      <c r="CV232" s="432">
        <v>6</v>
      </c>
      <c r="CW232" s="168" t="s">
        <v>2709</v>
      </c>
      <c r="CX232" s="168">
        <v>5</v>
      </c>
      <c r="CY232" s="168" t="s">
        <v>2781</v>
      </c>
      <c r="CZ232" s="173">
        <v>4</v>
      </c>
      <c r="DA232" s="171" t="s">
        <v>2782</v>
      </c>
      <c r="DB232" s="371" t="s">
        <v>546</v>
      </c>
      <c r="DC232" s="371">
        <f t="shared" si="21"/>
        <v>23</v>
      </c>
      <c r="DD232" s="371"/>
      <c r="DE232" s="371"/>
      <c r="DF232" s="371"/>
      <c r="DG232" s="371"/>
      <c r="DH232" s="371"/>
      <c r="DI232" s="371"/>
      <c r="DJ232" s="371"/>
      <c r="DK232" s="371"/>
      <c r="DL232" s="371"/>
      <c r="DM232" s="371"/>
      <c r="DN232" s="371"/>
      <c r="DO232" s="371"/>
      <c r="DP232" s="371"/>
      <c r="DQ232" s="371"/>
      <c r="DR232" s="371"/>
    </row>
    <row r="233" spans="1:122" ht="18.75" x14ac:dyDescent="0.3">
      <c r="A233" s="325"/>
      <c r="B233" s="326">
        <v>181</v>
      </c>
      <c r="C233" s="327" t="s">
        <v>2783</v>
      </c>
      <c r="D233" s="424" t="s">
        <v>834</v>
      </c>
      <c r="E233" s="328"/>
      <c r="F233" s="173" t="s">
        <v>546</v>
      </c>
      <c r="G233" s="173"/>
      <c r="H233" s="373" t="s">
        <v>834</v>
      </c>
      <c r="I233" s="427" t="s">
        <v>2784</v>
      </c>
      <c r="J233" s="173" t="s">
        <v>834</v>
      </c>
      <c r="K233" s="371" t="s">
        <v>2757</v>
      </c>
      <c r="L233" s="426" t="s">
        <v>834</v>
      </c>
      <c r="M233" s="427"/>
      <c r="N233" s="173" t="s">
        <v>834</v>
      </c>
      <c r="O233" s="171"/>
      <c r="P233" s="445" t="s">
        <v>834</v>
      </c>
      <c r="Q233" s="427"/>
      <c r="R233" s="374">
        <v>0.39800000000000002</v>
      </c>
      <c r="S233" s="168" t="s">
        <v>837</v>
      </c>
      <c r="T233" s="561" t="s">
        <v>834</v>
      </c>
      <c r="U233" s="376" t="s">
        <v>2758</v>
      </c>
      <c r="V233" s="441">
        <v>6</v>
      </c>
      <c r="W233" s="377" t="s">
        <v>2785</v>
      </c>
      <c r="X233" s="167" t="s">
        <v>834</v>
      </c>
      <c r="Y233" s="168" t="s">
        <v>2759</v>
      </c>
      <c r="Z233" s="167">
        <v>4</v>
      </c>
      <c r="AA233" s="168"/>
      <c r="AB233" s="167" t="s">
        <v>834</v>
      </c>
      <c r="AC233" s="168"/>
      <c r="AD233" s="430" t="s">
        <v>834</v>
      </c>
      <c r="AE233" s="168"/>
      <c r="AF233" s="173" t="s">
        <v>834</v>
      </c>
      <c r="AG233" s="171" t="s">
        <v>2761</v>
      </c>
      <c r="AH233" s="373" t="s">
        <v>834</v>
      </c>
      <c r="AI233" s="168" t="s">
        <v>2762</v>
      </c>
      <c r="AJ233" s="373">
        <v>6.5</v>
      </c>
      <c r="AK233" s="431" t="s">
        <v>863</v>
      </c>
      <c r="AL233" s="167" t="s">
        <v>834</v>
      </c>
      <c r="AM233" s="168"/>
      <c r="AN233" s="173" t="s">
        <v>834</v>
      </c>
      <c r="AO233" s="171" t="s">
        <v>2786</v>
      </c>
      <c r="AP233" s="432" t="s">
        <v>834</v>
      </c>
      <c r="AQ233" s="377" t="s">
        <v>2764</v>
      </c>
      <c r="AR233" s="173" t="s">
        <v>834</v>
      </c>
      <c r="AS233" s="171" t="s">
        <v>2787</v>
      </c>
      <c r="AT233" s="173" t="s">
        <v>834</v>
      </c>
      <c r="AU233" s="171"/>
      <c r="AV233" s="381" t="s">
        <v>834</v>
      </c>
      <c r="AW233" s="168"/>
      <c r="AX233" s="443">
        <v>6.875</v>
      </c>
      <c r="AY233" s="427" t="s">
        <v>2788</v>
      </c>
      <c r="AZ233" s="373">
        <v>7</v>
      </c>
      <c r="BA233" s="427" t="s">
        <v>2789</v>
      </c>
      <c r="BB233" s="164" t="s">
        <v>834</v>
      </c>
      <c r="BC233" s="168"/>
      <c r="BD233" s="432" t="s">
        <v>546</v>
      </c>
      <c r="BE233" s="427"/>
      <c r="BF233" s="384">
        <v>5.5</v>
      </c>
      <c r="BG233" s="168"/>
      <c r="BH233" s="432" t="s">
        <v>834</v>
      </c>
      <c r="BI233" s="427" t="s">
        <v>1954</v>
      </c>
      <c r="BJ233" s="167" t="s">
        <v>546</v>
      </c>
      <c r="BK233" s="167"/>
      <c r="BL233" s="167">
        <v>6.875</v>
      </c>
      <c r="BM233" s="168" t="s">
        <v>2770</v>
      </c>
      <c r="BN233" s="173">
        <v>5.125</v>
      </c>
      <c r="BO233" s="171"/>
      <c r="BP233" s="435">
        <v>4</v>
      </c>
      <c r="BQ233" s="436" t="s">
        <v>2771</v>
      </c>
      <c r="BR233" s="385">
        <v>4.75</v>
      </c>
      <c r="BS233" s="168" t="s">
        <v>2772</v>
      </c>
      <c r="BT233" s="167" t="s">
        <v>834</v>
      </c>
      <c r="BU233" s="168"/>
      <c r="BV233" s="441">
        <v>5.75</v>
      </c>
      <c r="BW233" s="168" t="s">
        <v>2629</v>
      </c>
      <c r="BX233" s="437" t="s">
        <v>834</v>
      </c>
      <c r="BY233" s="171"/>
      <c r="BZ233" s="432"/>
      <c r="CA233" s="168"/>
      <c r="CB233" s="167" t="s">
        <v>834</v>
      </c>
      <c r="CC233" s="168"/>
      <c r="CD233" s="173" t="s">
        <v>834</v>
      </c>
      <c r="CE233" s="171"/>
      <c r="CF233" s="373" t="s">
        <v>834</v>
      </c>
      <c r="CG233" s="175"/>
      <c r="CH233" s="167">
        <v>4.5</v>
      </c>
      <c r="CI233" s="168" t="s">
        <v>2775</v>
      </c>
      <c r="CJ233" s="373">
        <v>7</v>
      </c>
      <c r="CK233" s="444" t="s">
        <v>2776</v>
      </c>
      <c r="CL233" s="445" t="s">
        <v>834</v>
      </c>
      <c r="CM233" s="168" t="s">
        <v>2790</v>
      </c>
      <c r="CN233" s="385">
        <v>4.7</v>
      </c>
      <c r="CO233" s="168" t="s">
        <v>2778</v>
      </c>
      <c r="CP233" s="167" t="s">
        <v>834</v>
      </c>
      <c r="CQ233" s="168"/>
      <c r="CR233" s="373" t="s">
        <v>834</v>
      </c>
      <c r="CS233" s="427" t="s">
        <v>2780</v>
      </c>
      <c r="CT233" s="432">
        <v>6.5</v>
      </c>
      <c r="CU233" s="168" t="s">
        <v>938</v>
      </c>
      <c r="CV233" s="432">
        <v>6</v>
      </c>
      <c r="CW233" s="168" t="s">
        <v>2709</v>
      </c>
      <c r="CX233" s="168">
        <v>5</v>
      </c>
      <c r="CY233" s="168" t="s">
        <v>2791</v>
      </c>
      <c r="CZ233" s="173">
        <v>4</v>
      </c>
      <c r="DA233" s="171" t="s">
        <v>2782</v>
      </c>
      <c r="DB233" s="371" t="s">
        <v>546</v>
      </c>
      <c r="DC233" s="371">
        <f t="shared" si="21"/>
        <v>19</v>
      </c>
      <c r="DD233" s="371"/>
      <c r="DE233" s="371"/>
      <c r="DF233" s="371"/>
      <c r="DG233" s="371"/>
      <c r="DH233" s="371"/>
      <c r="DI233" s="371"/>
      <c r="DJ233" s="371"/>
      <c r="DK233" s="371"/>
      <c r="DL233" s="371"/>
      <c r="DM233" s="371"/>
      <c r="DN233" s="371"/>
      <c r="DO233" s="371"/>
      <c r="DP233" s="371"/>
      <c r="DQ233" s="371"/>
      <c r="DR233" s="371"/>
    </row>
    <row r="234" spans="1:122" ht="409.5" x14ac:dyDescent="0.3">
      <c r="A234" s="325"/>
      <c r="B234" s="326">
        <v>182</v>
      </c>
      <c r="C234" s="327" t="s">
        <v>2792</v>
      </c>
      <c r="D234" s="424" t="s">
        <v>834</v>
      </c>
      <c r="E234" s="328"/>
      <c r="F234" s="173"/>
      <c r="G234" s="173"/>
      <c r="H234" s="373" t="s">
        <v>834</v>
      </c>
      <c r="I234" s="427"/>
      <c r="J234" s="173" t="s">
        <v>834</v>
      </c>
      <c r="K234" s="371" t="s">
        <v>2793</v>
      </c>
      <c r="L234" s="426" t="s">
        <v>546</v>
      </c>
      <c r="M234" s="427" t="s">
        <v>2794</v>
      </c>
      <c r="N234" s="173" t="s">
        <v>834</v>
      </c>
      <c r="O234" s="171"/>
      <c r="P234" s="445">
        <v>6.35</v>
      </c>
      <c r="Q234" s="427" t="s">
        <v>2795</v>
      </c>
      <c r="R234" s="374">
        <v>0.39800000000000002</v>
      </c>
      <c r="S234" s="168" t="s">
        <v>837</v>
      </c>
      <c r="T234" s="428">
        <v>5.75</v>
      </c>
      <c r="U234" s="376"/>
      <c r="V234" s="429"/>
      <c r="W234" s="377" t="s">
        <v>2796</v>
      </c>
      <c r="X234" s="167" t="s">
        <v>834</v>
      </c>
      <c r="Y234" s="168" t="s">
        <v>2797</v>
      </c>
      <c r="Z234" s="167">
        <v>4</v>
      </c>
      <c r="AA234" s="168"/>
      <c r="AB234" s="167">
        <v>6</v>
      </c>
      <c r="AC234" s="168" t="s">
        <v>2798</v>
      </c>
      <c r="AD234" s="430" t="s">
        <v>834</v>
      </c>
      <c r="AE234" s="168"/>
      <c r="AF234" s="173" t="s">
        <v>834</v>
      </c>
      <c r="AG234" s="171"/>
      <c r="AH234" s="373" t="s">
        <v>834</v>
      </c>
      <c r="AI234" s="168" t="s">
        <v>2799</v>
      </c>
      <c r="AJ234" s="373">
        <v>6.5</v>
      </c>
      <c r="AK234" s="431" t="s">
        <v>863</v>
      </c>
      <c r="AL234" s="167">
        <v>6</v>
      </c>
      <c r="AM234" s="168"/>
      <c r="AN234" s="173">
        <v>5</v>
      </c>
      <c r="AO234" s="171"/>
      <c r="AP234" s="475">
        <v>6</v>
      </c>
      <c r="AQ234" s="168" t="s">
        <v>2800</v>
      </c>
      <c r="AR234" s="173">
        <v>6</v>
      </c>
      <c r="AS234" s="171" t="s">
        <v>2801</v>
      </c>
      <c r="AT234" s="173" t="s">
        <v>834</v>
      </c>
      <c r="AU234" s="171"/>
      <c r="AV234" s="381" t="s">
        <v>834</v>
      </c>
      <c r="AW234" s="167"/>
      <c r="AX234" s="433">
        <v>6.875</v>
      </c>
      <c r="AY234" s="427" t="s">
        <v>2802</v>
      </c>
      <c r="AZ234" s="373">
        <v>7</v>
      </c>
      <c r="BA234" s="427" t="s">
        <v>2803</v>
      </c>
      <c r="BB234" s="164" t="s">
        <v>834</v>
      </c>
      <c r="BC234" s="167"/>
      <c r="BD234" s="432" t="s">
        <v>546</v>
      </c>
      <c r="BE234" s="427"/>
      <c r="BF234" s="384">
        <v>5.5</v>
      </c>
      <c r="BG234" s="168"/>
      <c r="BH234" s="432" t="s">
        <v>834</v>
      </c>
      <c r="BI234" s="373"/>
      <c r="BJ234" s="167"/>
      <c r="BK234" s="167"/>
      <c r="BL234" s="167">
        <v>6.875</v>
      </c>
      <c r="BM234" s="168" t="s">
        <v>2804</v>
      </c>
      <c r="BN234" s="173">
        <v>5.125</v>
      </c>
      <c r="BO234" s="171"/>
      <c r="BP234" s="435">
        <v>4</v>
      </c>
      <c r="BQ234" s="436"/>
      <c r="BR234" s="385">
        <v>4.75</v>
      </c>
      <c r="BS234" s="168" t="s">
        <v>2772</v>
      </c>
      <c r="BT234" s="167" t="s">
        <v>834</v>
      </c>
      <c r="BU234" s="167"/>
      <c r="BV234" s="373" t="s">
        <v>834</v>
      </c>
      <c r="BW234" s="168" t="s">
        <v>2598</v>
      </c>
      <c r="BX234" s="437" t="s">
        <v>834</v>
      </c>
      <c r="BY234" s="171"/>
      <c r="BZ234" s="432"/>
      <c r="CA234" s="168"/>
      <c r="CB234" s="167">
        <v>6</v>
      </c>
      <c r="CC234" s="168" t="s">
        <v>2805</v>
      </c>
      <c r="CD234" s="173">
        <v>7</v>
      </c>
      <c r="CE234" s="171" t="s">
        <v>2806</v>
      </c>
      <c r="CF234" s="373" t="s">
        <v>834</v>
      </c>
      <c r="CG234" s="175"/>
      <c r="CH234" s="167">
        <v>4.5</v>
      </c>
      <c r="CI234" s="168"/>
      <c r="CJ234" s="167">
        <v>7</v>
      </c>
      <c r="CK234" s="168"/>
      <c r="CL234" s="385">
        <v>6.25</v>
      </c>
      <c r="CM234" s="168"/>
      <c r="CN234" s="385" t="s">
        <v>834</v>
      </c>
      <c r="CO234" s="168" t="s">
        <v>2807</v>
      </c>
      <c r="CP234" s="167" t="s">
        <v>834</v>
      </c>
      <c r="CQ234" s="167"/>
      <c r="CR234" s="373">
        <v>5.3</v>
      </c>
      <c r="CS234" s="427" t="s">
        <v>2808</v>
      </c>
      <c r="CT234" s="432">
        <v>6.5</v>
      </c>
      <c r="CU234" s="168" t="s">
        <v>938</v>
      </c>
      <c r="CV234" s="432">
        <v>6</v>
      </c>
      <c r="CW234" s="168"/>
      <c r="CX234" s="168">
        <v>5</v>
      </c>
      <c r="CY234" s="168"/>
      <c r="CZ234" s="173">
        <v>4</v>
      </c>
      <c r="DA234" s="597" t="s">
        <v>2809</v>
      </c>
      <c r="DB234" s="371"/>
      <c r="DC234" s="371">
        <f t="shared" si="21"/>
        <v>27</v>
      </c>
      <c r="DD234" s="371"/>
      <c r="DE234" s="371"/>
      <c r="DF234" s="371"/>
      <c r="DG234" s="371"/>
      <c r="DH234" s="371"/>
      <c r="DI234" s="371"/>
      <c r="DJ234" s="371"/>
      <c r="DK234" s="371"/>
      <c r="DL234" s="371"/>
      <c r="DM234" s="371"/>
      <c r="DN234" s="371"/>
      <c r="DO234" s="371"/>
      <c r="DP234" s="371"/>
      <c r="DQ234" s="371"/>
      <c r="DR234" s="371"/>
    </row>
    <row r="235" spans="1:122" ht="409.5" x14ac:dyDescent="0.3">
      <c r="A235" s="325">
        <v>445210</v>
      </c>
      <c r="B235" s="326">
        <v>183</v>
      </c>
      <c r="C235" s="327" t="s">
        <v>2810</v>
      </c>
      <c r="D235" s="424" t="s">
        <v>834</v>
      </c>
      <c r="E235" s="328"/>
      <c r="F235" s="173"/>
      <c r="G235" s="173"/>
      <c r="H235" s="373" t="s">
        <v>834</v>
      </c>
      <c r="I235" s="427"/>
      <c r="J235" s="173" t="s">
        <v>834</v>
      </c>
      <c r="K235" s="371"/>
      <c r="L235" s="426" t="s">
        <v>834</v>
      </c>
      <c r="M235" s="427"/>
      <c r="N235" s="173" t="s">
        <v>834</v>
      </c>
      <c r="O235" s="171"/>
      <c r="P235" s="445" t="s">
        <v>834</v>
      </c>
      <c r="Q235" s="427"/>
      <c r="R235" s="374">
        <v>0.39800000000000002</v>
      </c>
      <c r="S235" s="168" t="s">
        <v>837</v>
      </c>
      <c r="T235" s="428" t="s">
        <v>834</v>
      </c>
      <c r="U235" s="376"/>
      <c r="V235" s="429" t="s">
        <v>834</v>
      </c>
      <c r="W235" s="377"/>
      <c r="X235" s="167" t="s">
        <v>834</v>
      </c>
      <c r="Y235" s="168" t="s">
        <v>856</v>
      </c>
      <c r="Z235" s="167">
        <v>4</v>
      </c>
      <c r="AA235" s="168"/>
      <c r="AB235" s="167">
        <v>6</v>
      </c>
      <c r="AC235" s="168"/>
      <c r="AD235" s="430" t="s">
        <v>834</v>
      </c>
      <c r="AE235" s="168"/>
      <c r="AF235" s="173" t="s">
        <v>834</v>
      </c>
      <c r="AG235" s="171"/>
      <c r="AH235" s="373" t="s">
        <v>834</v>
      </c>
      <c r="AI235" s="453" t="s">
        <v>2811</v>
      </c>
      <c r="AJ235" s="373">
        <v>6.5</v>
      </c>
      <c r="AK235" s="431" t="s">
        <v>863</v>
      </c>
      <c r="AL235" s="167">
        <v>6</v>
      </c>
      <c r="AM235" s="168"/>
      <c r="AN235" s="173" t="s">
        <v>834</v>
      </c>
      <c r="AO235" s="171" t="s">
        <v>2812</v>
      </c>
      <c r="AP235" s="432" t="s">
        <v>834</v>
      </c>
      <c r="AQ235" s="168"/>
      <c r="AR235" s="173" t="s">
        <v>834</v>
      </c>
      <c r="AS235" s="171"/>
      <c r="AT235" s="173" t="s">
        <v>834</v>
      </c>
      <c r="AU235" s="171"/>
      <c r="AV235" s="381" t="s">
        <v>834</v>
      </c>
      <c r="AW235" s="167"/>
      <c r="AX235" s="433" t="s">
        <v>834</v>
      </c>
      <c r="AY235" s="427"/>
      <c r="AZ235" s="167">
        <v>7</v>
      </c>
      <c r="BA235" s="427"/>
      <c r="BB235" s="164" t="s">
        <v>834</v>
      </c>
      <c r="BC235" s="167"/>
      <c r="BD235" s="432"/>
      <c r="BE235" s="427"/>
      <c r="BF235" s="384" t="s">
        <v>834</v>
      </c>
      <c r="BG235" s="168" t="s">
        <v>2813</v>
      </c>
      <c r="BH235" s="432" t="s">
        <v>834</v>
      </c>
      <c r="BI235" s="373"/>
      <c r="BJ235" s="167"/>
      <c r="BK235" s="167"/>
      <c r="BL235" s="167" t="s">
        <v>834</v>
      </c>
      <c r="BM235" s="167"/>
      <c r="BN235" s="173">
        <v>5.125</v>
      </c>
      <c r="BO235" s="171"/>
      <c r="BP235" s="435">
        <v>4</v>
      </c>
      <c r="BQ235" s="436"/>
      <c r="BR235" s="167" t="s">
        <v>834</v>
      </c>
      <c r="BS235" s="167"/>
      <c r="BT235" s="167" t="s">
        <v>834</v>
      </c>
      <c r="BU235" s="167"/>
      <c r="BV235" s="373" t="s">
        <v>834</v>
      </c>
      <c r="BW235" s="167"/>
      <c r="BX235" s="437" t="s">
        <v>834</v>
      </c>
      <c r="BY235" s="171"/>
      <c r="BZ235" s="432"/>
      <c r="CA235" s="168"/>
      <c r="CB235" s="167">
        <v>6</v>
      </c>
      <c r="CC235" s="168" t="s">
        <v>2814</v>
      </c>
      <c r="CD235" s="173" t="s">
        <v>834</v>
      </c>
      <c r="CE235" s="171"/>
      <c r="CF235" s="373" t="s">
        <v>834</v>
      </c>
      <c r="CG235" s="175"/>
      <c r="CH235" s="167">
        <v>4.5</v>
      </c>
      <c r="CI235" s="168"/>
      <c r="CJ235" s="167" t="s">
        <v>834</v>
      </c>
      <c r="CK235" s="168"/>
      <c r="CL235" s="385" t="s">
        <v>834</v>
      </c>
      <c r="CM235" s="168"/>
      <c r="CN235" s="385" t="s">
        <v>834</v>
      </c>
      <c r="CO235" s="167"/>
      <c r="CP235" s="167" t="s">
        <v>834</v>
      </c>
      <c r="CQ235" s="167"/>
      <c r="CR235" s="373">
        <v>5.3</v>
      </c>
      <c r="CS235" s="454" t="s">
        <v>2815</v>
      </c>
      <c r="CT235" s="432">
        <v>0.47099999999999997</v>
      </c>
      <c r="CU235" s="168" t="s">
        <v>840</v>
      </c>
      <c r="CV235" s="432">
        <v>6</v>
      </c>
      <c r="CW235" s="168"/>
      <c r="CX235" s="168" t="s">
        <v>834</v>
      </c>
      <c r="CY235" s="168"/>
      <c r="CZ235" s="173">
        <v>4</v>
      </c>
      <c r="DA235" s="597" t="s">
        <v>2809</v>
      </c>
      <c r="DB235" s="371"/>
      <c r="DC235" s="371">
        <f t="shared" si="21"/>
        <v>14</v>
      </c>
      <c r="DD235" s="371"/>
      <c r="DE235" s="371"/>
      <c r="DF235" s="371"/>
      <c r="DG235" s="371"/>
      <c r="DH235" s="371"/>
      <c r="DI235" s="371"/>
      <c r="DJ235" s="371"/>
      <c r="DK235" s="371"/>
      <c r="DL235" s="371"/>
      <c r="DM235" s="371"/>
      <c r="DN235" s="371"/>
      <c r="DO235" s="371"/>
      <c r="DP235" s="371"/>
      <c r="DQ235" s="371"/>
      <c r="DR235" s="371"/>
    </row>
    <row r="236" spans="1:122" ht="18.75" x14ac:dyDescent="0.3">
      <c r="A236" s="325"/>
      <c r="B236" s="326">
        <v>184</v>
      </c>
      <c r="C236" s="327" t="s">
        <v>2816</v>
      </c>
      <c r="D236" s="424" t="s">
        <v>834</v>
      </c>
      <c r="E236" s="328"/>
      <c r="F236" s="173"/>
      <c r="G236" s="173"/>
      <c r="H236" s="373" t="s">
        <v>834</v>
      </c>
      <c r="I236" s="427"/>
      <c r="J236" s="173" t="s">
        <v>834</v>
      </c>
      <c r="K236" s="371"/>
      <c r="L236" s="426" t="s">
        <v>834</v>
      </c>
      <c r="M236" s="427" t="s">
        <v>2817</v>
      </c>
      <c r="N236" s="173" t="s">
        <v>834</v>
      </c>
      <c r="O236" s="171"/>
      <c r="P236" s="445" t="s">
        <v>834</v>
      </c>
      <c r="Q236" s="427"/>
      <c r="R236" s="374">
        <v>0.39800000000000002</v>
      </c>
      <c r="S236" s="168" t="s">
        <v>837</v>
      </c>
      <c r="T236" s="428" t="s">
        <v>834</v>
      </c>
      <c r="U236" s="376"/>
      <c r="V236" s="429">
        <v>6</v>
      </c>
      <c r="W236" s="377"/>
      <c r="X236" s="167" t="s">
        <v>834</v>
      </c>
      <c r="Y236" s="168"/>
      <c r="Z236" s="167">
        <v>4</v>
      </c>
      <c r="AA236" s="168"/>
      <c r="AB236" s="167">
        <v>6</v>
      </c>
      <c r="AC236" s="168"/>
      <c r="AD236" s="430" t="s">
        <v>834</v>
      </c>
      <c r="AE236" s="168"/>
      <c r="AF236" s="173" t="s">
        <v>834</v>
      </c>
      <c r="AG236" s="171"/>
      <c r="AH236" s="167">
        <v>6</v>
      </c>
      <c r="AI236" s="168"/>
      <c r="AJ236" s="373">
        <v>6.5</v>
      </c>
      <c r="AK236" s="431" t="s">
        <v>863</v>
      </c>
      <c r="AL236" s="167" t="s">
        <v>834</v>
      </c>
      <c r="AM236" s="168"/>
      <c r="AN236" s="173" t="s">
        <v>834</v>
      </c>
      <c r="AO236" s="171"/>
      <c r="AP236" s="429">
        <v>6</v>
      </c>
      <c r="AQ236" s="168" t="s">
        <v>2800</v>
      </c>
      <c r="AR236" s="173">
        <v>6</v>
      </c>
      <c r="AS236" s="171"/>
      <c r="AT236" s="173">
        <v>6.25</v>
      </c>
      <c r="AU236" s="171"/>
      <c r="AV236" s="381">
        <v>6</v>
      </c>
      <c r="AW236" s="168" t="s">
        <v>2818</v>
      </c>
      <c r="AX236" s="433">
        <v>6.875</v>
      </c>
      <c r="AY236" s="427"/>
      <c r="AZ236" s="167" t="s">
        <v>834</v>
      </c>
      <c r="BA236" s="427"/>
      <c r="BB236" s="164" t="s">
        <v>834</v>
      </c>
      <c r="BC236" s="167"/>
      <c r="BD236" s="432"/>
      <c r="BE236" s="427"/>
      <c r="BF236" s="384">
        <v>5.5</v>
      </c>
      <c r="BG236" s="168"/>
      <c r="BH236" s="432" t="s">
        <v>834</v>
      </c>
      <c r="BI236" s="427"/>
      <c r="BJ236" s="167"/>
      <c r="BK236" s="167"/>
      <c r="BL236" s="167">
        <v>6.875</v>
      </c>
      <c r="BM236" s="167"/>
      <c r="BN236" s="173">
        <v>5.125</v>
      </c>
      <c r="BO236" s="171"/>
      <c r="BP236" s="435">
        <v>4</v>
      </c>
      <c r="BQ236" s="436"/>
      <c r="BR236" s="167" t="s">
        <v>834</v>
      </c>
      <c r="BS236" s="167"/>
      <c r="BT236" s="167" t="s">
        <v>834</v>
      </c>
      <c r="BU236" s="168" t="s">
        <v>1641</v>
      </c>
      <c r="BV236" s="441">
        <v>5.75</v>
      </c>
      <c r="BW236" s="167"/>
      <c r="BX236" s="437" t="s">
        <v>834</v>
      </c>
      <c r="BY236" s="171"/>
      <c r="BZ236" s="432"/>
      <c r="CA236" s="168"/>
      <c r="CB236" s="167">
        <v>6</v>
      </c>
      <c r="CC236" s="167"/>
      <c r="CD236" s="173">
        <v>7</v>
      </c>
      <c r="CE236" s="171"/>
      <c r="CF236" s="373" t="s">
        <v>834</v>
      </c>
      <c r="CG236" s="175" t="s">
        <v>2819</v>
      </c>
      <c r="CH236" s="167">
        <v>4.5</v>
      </c>
      <c r="CI236" s="168"/>
      <c r="CJ236" s="167" t="s">
        <v>834</v>
      </c>
      <c r="CK236" s="168"/>
      <c r="CL236" s="385">
        <v>6.25</v>
      </c>
      <c r="CM236" s="168"/>
      <c r="CN236" s="385">
        <v>4.7</v>
      </c>
      <c r="CO236" s="167"/>
      <c r="CP236" s="167">
        <v>6</v>
      </c>
      <c r="CQ236" s="167"/>
      <c r="CR236" s="373" t="s">
        <v>834</v>
      </c>
      <c r="CS236" s="373"/>
      <c r="CT236" s="432">
        <v>6.5</v>
      </c>
      <c r="CU236" s="168" t="s">
        <v>938</v>
      </c>
      <c r="CV236" s="432">
        <v>6</v>
      </c>
      <c r="CW236" s="168"/>
      <c r="CX236" s="168">
        <v>5</v>
      </c>
      <c r="CY236" s="168"/>
      <c r="CZ236" s="173">
        <v>4</v>
      </c>
      <c r="DA236" s="171" t="s">
        <v>2820</v>
      </c>
      <c r="DB236" s="371" t="s">
        <v>546</v>
      </c>
      <c r="DC236" s="371">
        <f t="shared" si="21"/>
        <v>26</v>
      </c>
      <c r="DD236" s="371"/>
      <c r="DE236" s="371"/>
      <c r="DF236" s="371"/>
      <c r="DG236" s="371"/>
      <c r="DH236" s="371"/>
      <c r="DI236" s="371"/>
      <c r="DJ236" s="371"/>
      <c r="DK236" s="371"/>
      <c r="DL236" s="371"/>
      <c r="DM236" s="371"/>
      <c r="DN236" s="371"/>
      <c r="DO236" s="371"/>
      <c r="DP236" s="371"/>
      <c r="DQ236" s="371"/>
      <c r="DR236" s="371"/>
    </row>
    <row r="237" spans="1:122" ht="18.75" x14ac:dyDescent="0.3">
      <c r="A237" s="325"/>
      <c r="B237" s="326">
        <v>185</v>
      </c>
      <c r="C237" s="327" t="s">
        <v>2821</v>
      </c>
      <c r="D237" s="424" t="s">
        <v>834</v>
      </c>
      <c r="E237" s="328" t="s">
        <v>2822</v>
      </c>
      <c r="F237" s="173" t="s">
        <v>546</v>
      </c>
      <c r="G237" s="173"/>
      <c r="H237" s="373">
        <v>6.5</v>
      </c>
      <c r="I237" s="427" t="s">
        <v>2823</v>
      </c>
      <c r="J237" s="173" t="s">
        <v>834</v>
      </c>
      <c r="K237" s="371" t="s">
        <v>2824</v>
      </c>
      <c r="L237" s="426">
        <v>7.25</v>
      </c>
      <c r="M237" s="427" t="s">
        <v>2825</v>
      </c>
      <c r="N237" s="173">
        <v>2.9</v>
      </c>
      <c r="O237" s="171" t="s">
        <v>2826</v>
      </c>
      <c r="P237" s="445">
        <v>6.35</v>
      </c>
      <c r="Q237" s="427"/>
      <c r="R237" s="374">
        <v>0.39800000000000002</v>
      </c>
      <c r="S237" s="168" t="s">
        <v>837</v>
      </c>
      <c r="T237" s="428">
        <v>5.75</v>
      </c>
      <c r="U237" s="376"/>
      <c r="V237" s="429">
        <v>6</v>
      </c>
      <c r="W237" s="377"/>
      <c r="X237" s="167" t="s">
        <v>834</v>
      </c>
      <c r="Y237" s="168" t="s">
        <v>2797</v>
      </c>
      <c r="Z237" s="373">
        <v>4</v>
      </c>
      <c r="AA237" s="168" t="s">
        <v>2827</v>
      </c>
      <c r="AB237" s="167">
        <v>6</v>
      </c>
      <c r="AC237" s="168" t="s">
        <v>2828</v>
      </c>
      <c r="AD237" s="430" t="s">
        <v>834</v>
      </c>
      <c r="AE237" s="168"/>
      <c r="AF237" s="173" t="s">
        <v>834</v>
      </c>
      <c r="AG237" s="171" t="s">
        <v>2829</v>
      </c>
      <c r="AH237" s="167">
        <v>6</v>
      </c>
      <c r="AI237" s="453" t="s">
        <v>876</v>
      </c>
      <c r="AJ237" s="373">
        <v>6.5</v>
      </c>
      <c r="AK237" s="431" t="s">
        <v>863</v>
      </c>
      <c r="AL237" s="167">
        <v>6</v>
      </c>
      <c r="AM237" s="168" t="s">
        <v>2830</v>
      </c>
      <c r="AN237" s="173">
        <v>5</v>
      </c>
      <c r="AO237" s="171"/>
      <c r="AP237" s="429">
        <v>6</v>
      </c>
      <c r="AQ237" s="377" t="s">
        <v>2831</v>
      </c>
      <c r="AR237" s="173">
        <v>6</v>
      </c>
      <c r="AS237" s="171" t="s">
        <v>2832</v>
      </c>
      <c r="AT237" s="173" t="s">
        <v>834</v>
      </c>
      <c r="AU237" s="171"/>
      <c r="AV237" s="381" t="s">
        <v>834</v>
      </c>
      <c r="AW237" s="168" t="s">
        <v>2833</v>
      </c>
      <c r="AX237" s="433">
        <v>6.875</v>
      </c>
      <c r="AY237" s="427" t="s">
        <v>2834</v>
      </c>
      <c r="AZ237" s="167">
        <v>7</v>
      </c>
      <c r="BA237" s="427"/>
      <c r="BB237" s="164" t="s">
        <v>834</v>
      </c>
      <c r="BC237" s="167"/>
      <c r="BD237" s="432" t="s">
        <v>546</v>
      </c>
      <c r="BE237" s="427"/>
      <c r="BF237" s="384">
        <v>5.5</v>
      </c>
      <c r="BG237" s="168"/>
      <c r="BH237" s="432" t="s">
        <v>834</v>
      </c>
      <c r="BI237" s="427" t="s">
        <v>2835</v>
      </c>
      <c r="BJ237" s="167" t="s">
        <v>546</v>
      </c>
      <c r="BK237" s="167"/>
      <c r="BL237" s="167">
        <v>6.875</v>
      </c>
      <c r="BM237" s="167"/>
      <c r="BN237" s="173">
        <v>5.125</v>
      </c>
      <c r="BO237" s="171"/>
      <c r="BP237" s="435">
        <v>4</v>
      </c>
      <c r="BQ237" s="436"/>
      <c r="BR237" s="445">
        <v>4.75</v>
      </c>
      <c r="BS237" s="168" t="s">
        <v>2836</v>
      </c>
      <c r="BT237" s="167" t="s">
        <v>834</v>
      </c>
      <c r="BU237" s="167"/>
      <c r="BV237" s="441">
        <v>5.75</v>
      </c>
      <c r="BW237" s="167"/>
      <c r="BX237" s="437" t="s">
        <v>834</v>
      </c>
      <c r="BY237" s="171"/>
      <c r="BZ237" s="432"/>
      <c r="CA237" s="168"/>
      <c r="CB237" s="167">
        <v>6</v>
      </c>
      <c r="CC237" s="168" t="s">
        <v>2837</v>
      </c>
      <c r="CD237" s="173" t="s">
        <v>834</v>
      </c>
      <c r="CE237" s="171" t="s">
        <v>2838</v>
      </c>
      <c r="CF237" s="373" t="s">
        <v>834</v>
      </c>
      <c r="CG237" s="175" t="s">
        <v>2839</v>
      </c>
      <c r="CH237" s="167">
        <v>4.5</v>
      </c>
      <c r="CI237" s="168"/>
      <c r="CJ237" s="167">
        <v>7</v>
      </c>
      <c r="CK237" s="168"/>
      <c r="CL237" s="385">
        <v>6.25</v>
      </c>
      <c r="CM237" s="168" t="s">
        <v>546</v>
      </c>
      <c r="CN237" s="385">
        <v>4.7</v>
      </c>
      <c r="CO237" s="168" t="s">
        <v>2840</v>
      </c>
      <c r="CP237" s="167" t="s">
        <v>834</v>
      </c>
      <c r="CQ237" s="168" t="s">
        <v>2841</v>
      </c>
      <c r="CR237" s="373" t="s">
        <v>834</v>
      </c>
      <c r="CS237" s="427" t="s">
        <v>2842</v>
      </c>
      <c r="CT237" s="432">
        <v>6.5</v>
      </c>
      <c r="CU237" s="168" t="s">
        <v>938</v>
      </c>
      <c r="CV237" s="432">
        <v>6</v>
      </c>
      <c r="CW237" s="168"/>
      <c r="CX237" s="168">
        <v>5</v>
      </c>
      <c r="CY237" s="168" t="s">
        <v>2791</v>
      </c>
      <c r="CZ237" s="173">
        <v>4</v>
      </c>
      <c r="DA237" s="171" t="s">
        <v>2843</v>
      </c>
      <c r="DB237" s="371" t="s">
        <v>546</v>
      </c>
      <c r="DC237" s="371">
        <f t="shared" si="21"/>
        <v>32</v>
      </c>
      <c r="DD237" s="371"/>
      <c r="DE237" s="371"/>
      <c r="DF237" s="371"/>
      <c r="DG237" s="371"/>
      <c r="DH237" s="371"/>
      <c r="DI237" s="371"/>
      <c r="DJ237" s="371"/>
      <c r="DK237" s="371"/>
      <c r="DL237" s="371"/>
      <c r="DM237" s="371"/>
      <c r="DN237" s="371"/>
      <c r="DO237" s="371"/>
      <c r="DP237" s="371"/>
      <c r="DQ237" s="371"/>
      <c r="DR237" s="371"/>
    </row>
    <row r="238" spans="1:122" ht="18.75" x14ac:dyDescent="0.3">
      <c r="A238" s="325"/>
      <c r="B238" s="326"/>
      <c r="C238" s="327"/>
      <c r="D238" s="424"/>
      <c r="E238" s="328"/>
      <c r="F238" s="173"/>
      <c r="G238" s="173"/>
      <c r="H238" s="373"/>
      <c r="I238" s="427"/>
      <c r="J238" s="173"/>
      <c r="K238" s="371"/>
      <c r="L238" s="426"/>
      <c r="M238" s="427"/>
      <c r="N238" s="173"/>
      <c r="O238" s="171"/>
      <c r="P238" s="167"/>
      <c r="Q238" s="427"/>
      <c r="R238" s="374"/>
      <c r="S238" s="168"/>
      <c r="T238" s="375">
        <v>5.75</v>
      </c>
      <c r="U238" s="376"/>
      <c r="V238" s="429"/>
      <c r="W238" s="377"/>
      <c r="X238" s="167"/>
      <c r="Y238" s="168"/>
      <c r="Z238" s="167"/>
      <c r="AA238" s="168"/>
      <c r="AB238" s="167"/>
      <c r="AC238" s="168"/>
      <c r="AD238" s="430" t="s">
        <v>546</v>
      </c>
      <c r="AE238" s="168"/>
      <c r="AF238" s="173"/>
      <c r="AG238" s="171"/>
      <c r="AH238" s="167"/>
      <c r="AI238" s="168"/>
      <c r="AJ238" s="373"/>
      <c r="AK238" s="431"/>
      <c r="AL238" s="167"/>
      <c r="AM238" s="168"/>
      <c r="AN238" s="173"/>
      <c r="AO238" s="171"/>
      <c r="AP238" s="432"/>
      <c r="AQ238" s="168"/>
      <c r="AR238" s="173"/>
      <c r="AS238" s="171"/>
      <c r="AT238" s="173"/>
      <c r="AU238" s="171"/>
      <c r="AV238" s="567"/>
      <c r="AW238" s="598"/>
      <c r="AX238" s="433"/>
      <c r="AY238" s="427"/>
      <c r="AZ238" s="167"/>
      <c r="BA238" s="427"/>
      <c r="BB238" s="164"/>
      <c r="BC238" s="167"/>
      <c r="BD238" s="432"/>
      <c r="BE238" s="427"/>
      <c r="BF238" s="384"/>
      <c r="BG238" s="168"/>
      <c r="BH238" s="432"/>
      <c r="BI238" s="427"/>
      <c r="BJ238" s="167"/>
      <c r="BK238" s="167"/>
      <c r="BL238" s="167"/>
      <c r="BM238" s="167"/>
      <c r="BN238" s="173"/>
      <c r="BO238" s="171"/>
      <c r="BP238" s="435"/>
      <c r="BQ238" s="436"/>
      <c r="BR238" s="167"/>
      <c r="BS238" s="167"/>
      <c r="BT238" s="167"/>
      <c r="BU238" s="167"/>
      <c r="BV238" s="167"/>
      <c r="BW238" s="167"/>
      <c r="BX238" s="437"/>
      <c r="BY238" s="171"/>
      <c r="BZ238" s="432"/>
      <c r="CA238" s="168"/>
      <c r="CB238" s="167"/>
      <c r="CC238" s="167"/>
      <c r="CD238" s="173"/>
      <c r="CE238" s="171"/>
      <c r="CF238" s="167"/>
      <c r="CG238" s="167"/>
      <c r="CH238" s="167"/>
      <c r="CI238" s="168"/>
      <c r="CJ238" s="167"/>
      <c r="CK238" s="168"/>
      <c r="CL238" s="385"/>
      <c r="CM238" s="168"/>
      <c r="CN238" s="385"/>
      <c r="CO238" s="168"/>
      <c r="CP238" s="167"/>
      <c r="CQ238" s="167"/>
      <c r="CR238" s="373"/>
      <c r="CS238" s="373"/>
      <c r="CT238" s="432"/>
      <c r="CU238" s="168"/>
      <c r="CV238" s="432"/>
      <c r="CW238" s="168"/>
      <c r="CX238" s="168"/>
      <c r="CY238" s="168"/>
      <c r="CZ238" s="173"/>
      <c r="DA238" s="171"/>
      <c r="DB238" s="371"/>
      <c r="DC238" s="371"/>
      <c r="DD238" s="371"/>
      <c r="DE238" s="371"/>
      <c r="DF238" s="371"/>
      <c r="DG238" s="371"/>
      <c r="DH238" s="371"/>
      <c r="DI238" s="371"/>
      <c r="DJ238" s="371"/>
      <c r="DK238" s="371"/>
      <c r="DL238" s="371"/>
      <c r="DM238" s="371"/>
      <c r="DN238" s="371"/>
      <c r="DO238" s="371"/>
      <c r="DP238" s="371"/>
      <c r="DQ238" s="371"/>
      <c r="DR238" s="371"/>
    </row>
    <row r="239" spans="1:122" ht="18.75" x14ac:dyDescent="0.3">
      <c r="A239" s="325"/>
      <c r="B239" s="326"/>
      <c r="C239" s="327"/>
      <c r="D239" s="424"/>
      <c r="E239" s="328"/>
      <c r="F239" s="173"/>
      <c r="G239" s="173"/>
      <c r="H239" s="373"/>
      <c r="I239" s="427"/>
      <c r="J239" s="173"/>
      <c r="K239" s="371"/>
      <c r="L239" s="426"/>
      <c r="M239" s="427"/>
      <c r="N239" s="173"/>
      <c r="O239" s="171"/>
      <c r="P239" s="167"/>
      <c r="Q239" s="427"/>
      <c r="R239" s="374"/>
      <c r="S239" s="168"/>
      <c r="T239" s="375"/>
      <c r="U239" s="376"/>
      <c r="V239" s="429"/>
      <c r="W239" s="377"/>
      <c r="X239" s="167"/>
      <c r="Y239" s="168"/>
      <c r="Z239" s="167"/>
      <c r="AA239" s="168"/>
      <c r="AB239" s="167"/>
      <c r="AC239" s="168"/>
      <c r="AD239" s="430" t="s">
        <v>546</v>
      </c>
      <c r="AE239" s="168"/>
      <c r="AF239" s="173"/>
      <c r="AG239" s="171"/>
      <c r="AH239" s="167"/>
      <c r="AI239" s="168"/>
      <c r="AJ239" s="373"/>
      <c r="AK239" s="431"/>
      <c r="AL239" s="167"/>
      <c r="AM239" s="168"/>
      <c r="AN239" s="173"/>
      <c r="AO239" s="171"/>
      <c r="AP239" s="432"/>
      <c r="AQ239" s="168"/>
      <c r="AR239" s="173"/>
      <c r="AS239" s="171"/>
      <c r="AT239" s="173"/>
      <c r="AU239" s="171"/>
      <c r="AV239" s="567"/>
      <c r="AW239" s="568"/>
      <c r="AX239" s="433"/>
      <c r="AY239" s="427"/>
      <c r="AZ239" s="167"/>
      <c r="BA239" s="427"/>
      <c r="BB239" s="164"/>
      <c r="BC239" s="168"/>
      <c r="BD239" s="432"/>
      <c r="BE239" s="427"/>
      <c r="BF239" s="384"/>
      <c r="BG239" s="168"/>
      <c r="BH239" s="432"/>
      <c r="BI239" s="427"/>
      <c r="BJ239" s="167"/>
      <c r="BK239" s="167"/>
      <c r="BL239" s="167"/>
      <c r="BM239" s="168"/>
      <c r="BN239" s="173"/>
      <c r="BO239" s="171"/>
      <c r="BP239" s="435"/>
      <c r="BQ239" s="436"/>
      <c r="BR239" s="167"/>
      <c r="BS239" s="168"/>
      <c r="BT239" s="167"/>
      <c r="BU239" s="168"/>
      <c r="BV239" s="167"/>
      <c r="BW239" s="168"/>
      <c r="BX239" s="437"/>
      <c r="BY239" s="171"/>
      <c r="BZ239" s="432"/>
      <c r="CA239" s="168"/>
      <c r="CB239" s="167"/>
      <c r="CC239" s="168"/>
      <c r="CD239" s="173"/>
      <c r="CE239" s="171"/>
      <c r="CF239" s="167"/>
      <c r="CG239" s="168"/>
      <c r="CH239" s="167"/>
      <c r="CI239" s="168"/>
      <c r="CJ239" s="167"/>
      <c r="CK239" s="168"/>
      <c r="CL239" s="385"/>
      <c r="CM239" s="168"/>
      <c r="CN239" s="385"/>
      <c r="CO239" s="168"/>
      <c r="CP239" s="167"/>
      <c r="CQ239" s="168"/>
      <c r="CR239" s="373"/>
      <c r="CS239" s="427"/>
      <c r="CT239" s="432"/>
      <c r="CU239" s="168"/>
      <c r="CV239" s="432"/>
      <c r="CW239" s="168"/>
      <c r="CX239" s="168"/>
      <c r="CY239" s="168"/>
      <c r="CZ239" s="173"/>
      <c r="DA239" s="171"/>
      <c r="DB239" s="371"/>
      <c r="DC239" s="371"/>
      <c r="DD239" s="371"/>
      <c r="DE239" s="371"/>
      <c r="DF239" s="371"/>
      <c r="DG239" s="371"/>
      <c r="DH239" s="371"/>
      <c r="DI239" s="371"/>
      <c r="DJ239" s="371"/>
      <c r="DK239" s="371"/>
      <c r="DL239" s="371"/>
      <c r="DM239" s="371"/>
      <c r="DN239" s="371"/>
      <c r="DO239" s="371"/>
      <c r="DP239" s="371"/>
      <c r="DQ239" s="371"/>
      <c r="DR239" s="371"/>
    </row>
    <row r="240" spans="1:122" ht="18.75" x14ac:dyDescent="0.3">
      <c r="A240" s="389"/>
      <c r="B240" s="390"/>
      <c r="C240" s="391" t="s">
        <v>2844</v>
      </c>
      <c r="D240" s="599"/>
      <c r="E240" s="600"/>
      <c r="F240" s="394" t="s">
        <v>546</v>
      </c>
      <c r="G240" s="394"/>
      <c r="H240" s="421"/>
      <c r="I240" s="401"/>
      <c r="J240" s="394"/>
      <c r="K240" s="397"/>
      <c r="L240" s="438"/>
      <c r="M240" s="401"/>
      <c r="N240" s="394"/>
      <c r="O240" s="172"/>
      <c r="P240" s="407"/>
      <c r="Q240" s="401"/>
      <c r="R240" s="402"/>
      <c r="S240" s="170"/>
      <c r="T240" s="601"/>
      <c r="U240" s="404"/>
      <c r="V240" s="405"/>
      <c r="W240" s="406"/>
      <c r="X240" s="407"/>
      <c r="Y240" s="170"/>
      <c r="Z240" s="407"/>
      <c r="AA240" s="170"/>
      <c r="AB240" s="407"/>
      <c r="AC240" s="170"/>
      <c r="AD240" s="408" t="s">
        <v>546</v>
      </c>
      <c r="AE240" s="170"/>
      <c r="AF240" s="394"/>
      <c r="AG240" s="172"/>
      <c r="AH240" s="407"/>
      <c r="AI240" s="170"/>
      <c r="AJ240" s="421"/>
      <c r="AK240" s="409"/>
      <c r="AL240" s="407"/>
      <c r="AM240" s="170"/>
      <c r="AN240" s="394"/>
      <c r="AO240" s="172"/>
      <c r="AP240" s="416"/>
      <c r="AQ240" s="170"/>
      <c r="AR240" s="394"/>
      <c r="AS240" s="172"/>
      <c r="AT240" s="394"/>
      <c r="AU240" s="172"/>
      <c r="AV240" s="411"/>
      <c r="AW240" s="170"/>
      <c r="AX240" s="412"/>
      <c r="AY240" s="401"/>
      <c r="AZ240" s="407"/>
      <c r="BA240" s="401"/>
      <c r="BB240" s="163"/>
      <c r="BC240" s="170"/>
      <c r="BD240" s="416"/>
      <c r="BE240" s="401"/>
      <c r="BF240" s="415"/>
      <c r="BG240" s="170"/>
      <c r="BH240" s="416"/>
      <c r="BI240" s="401"/>
      <c r="BJ240" s="407"/>
      <c r="BK240" s="407"/>
      <c r="BL240" s="407"/>
      <c r="BM240" s="170"/>
      <c r="BN240" s="394"/>
      <c r="BO240" s="172"/>
      <c r="BP240" s="418"/>
      <c r="BQ240" s="419"/>
      <c r="BR240" s="407"/>
      <c r="BS240" s="170"/>
      <c r="BT240" s="407"/>
      <c r="BU240" s="170"/>
      <c r="BV240" s="407"/>
      <c r="BW240" s="170"/>
      <c r="BX240" s="420"/>
      <c r="BY240" s="172"/>
      <c r="BZ240" s="416"/>
      <c r="CA240" s="170"/>
      <c r="CB240" s="407"/>
      <c r="CC240" s="170"/>
      <c r="CD240" s="394"/>
      <c r="CE240" s="172"/>
      <c r="CF240" s="407"/>
      <c r="CG240" s="170"/>
      <c r="CH240" s="407"/>
      <c r="CI240" s="170"/>
      <c r="CJ240" s="407"/>
      <c r="CK240" s="170"/>
      <c r="CL240" s="400"/>
      <c r="CM240" s="170"/>
      <c r="CN240" s="400"/>
      <c r="CO240" s="170"/>
      <c r="CP240" s="407"/>
      <c r="CQ240" s="170"/>
      <c r="CR240" s="421"/>
      <c r="CS240" s="401"/>
      <c r="CT240" s="416"/>
      <c r="CU240" s="170"/>
      <c r="CV240" s="416"/>
      <c r="CW240" s="170"/>
      <c r="CX240" s="170"/>
      <c r="CY240" s="170"/>
      <c r="CZ240" s="394"/>
      <c r="DA240" s="172"/>
      <c r="DB240" s="397"/>
      <c r="DC240" s="397"/>
      <c r="DD240" s="397"/>
      <c r="DE240" s="397"/>
      <c r="DF240" s="397"/>
      <c r="DG240" s="397"/>
      <c r="DH240" s="397"/>
      <c r="DI240" s="397"/>
      <c r="DJ240" s="397"/>
      <c r="DK240" s="397"/>
      <c r="DL240" s="397"/>
      <c r="DM240" s="397"/>
      <c r="DN240" s="397"/>
      <c r="DO240" s="397"/>
      <c r="DP240" s="397"/>
      <c r="DQ240" s="397"/>
      <c r="DR240" s="397"/>
    </row>
    <row r="241" spans="1:122" ht="18.75" x14ac:dyDescent="0.3">
      <c r="A241" s="325"/>
      <c r="B241" s="326">
        <v>186</v>
      </c>
      <c r="C241" s="327" t="s">
        <v>2845</v>
      </c>
      <c r="D241" s="599" t="s">
        <v>620</v>
      </c>
      <c r="E241" s="602" t="s">
        <v>2846</v>
      </c>
      <c r="F241" s="173" t="s">
        <v>546</v>
      </c>
      <c r="G241" s="173"/>
      <c r="H241" s="373" t="s">
        <v>620</v>
      </c>
      <c r="I241" s="427" t="s">
        <v>2847</v>
      </c>
      <c r="J241" s="173">
        <v>5.6</v>
      </c>
      <c r="K241" s="371" t="s">
        <v>2848</v>
      </c>
      <c r="L241" s="603" t="s">
        <v>503</v>
      </c>
      <c r="M241" s="427" t="s">
        <v>2849</v>
      </c>
      <c r="N241" s="173" t="s">
        <v>620</v>
      </c>
      <c r="O241" s="171" t="s">
        <v>2850</v>
      </c>
      <c r="P241" s="373" t="s">
        <v>620</v>
      </c>
      <c r="Q241" s="427" t="s">
        <v>2851</v>
      </c>
      <c r="R241" s="374">
        <v>0.39800000000000002</v>
      </c>
      <c r="S241" s="168" t="s">
        <v>2852</v>
      </c>
      <c r="T241" s="375">
        <v>5.75</v>
      </c>
      <c r="U241" s="376" t="s">
        <v>2853</v>
      </c>
      <c r="V241" s="429" t="s">
        <v>620</v>
      </c>
      <c r="W241" s="462" t="s">
        <v>2854</v>
      </c>
      <c r="X241" s="167" t="s">
        <v>546</v>
      </c>
      <c r="Y241" s="168"/>
      <c r="Z241" s="167" t="s">
        <v>620</v>
      </c>
      <c r="AA241" s="168" t="s">
        <v>2855</v>
      </c>
      <c r="AB241" s="167">
        <v>6</v>
      </c>
      <c r="AC241" s="168" t="s">
        <v>2856</v>
      </c>
      <c r="AD241" s="430" t="s">
        <v>619</v>
      </c>
      <c r="AE241" s="168"/>
      <c r="AF241" s="173" t="s">
        <v>620</v>
      </c>
      <c r="AG241" s="171" t="s">
        <v>2857</v>
      </c>
      <c r="AH241" s="544">
        <v>6</v>
      </c>
      <c r="AI241" s="168" t="s">
        <v>2858</v>
      </c>
      <c r="AJ241" s="425">
        <v>6.5</v>
      </c>
      <c r="AK241" s="431" t="s">
        <v>2859</v>
      </c>
      <c r="AL241" s="167" t="s">
        <v>620</v>
      </c>
      <c r="AM241" s="168" t="s">
        <v>2860</v>
      </c>
      <c r="AN241" s="173" t="s">
        <v>619</v>
      </c>
      <c r="AO241" s="171"/>
      <c r="AP241" s="475" t="s">
        <v>620</v>
      </c>
      <c r="AQ241" s="604" t="s">
        <v>2861</v>
      </c>
      <c r="AR241" s="173" t="s">
        <v>620</v>
      </c>
      <c r="AS241" s="171" t="s">
        <v>2862</v>
      </c>
      <c r="AT241" s="173" t="s">
        <v>619</v>
      </c>
      <c r="AU241" s="171"/>
      <c r="AV241" s="381" t="s">
        <v>619</v>
      </c>
      <c r="AW241" s="167"/>
      <c r="AX241" s="433" t="s">
        <v>619</v>
      </c>
      <c r="AY241" s="427"/>
      <c r="AZ241" s="167">
        <v>7</v>
      </c>
      <c r="BA241" s="427" t="s">
        <v>2863</v>
      </c>
      <c r="BB241" s="164" t="s">
        <v>619</v>
      </c>
      <c r="BC241" s="167"/>
      <c r="BD241" s="432"/>
      <c r="BE241" s="427"/>
      <c r="BF241" s="384">
        <v>5.5</v>
      </c>
      <c r="BG241" s="168" t="s">
        <v>2864</v>
      </c>
      <c r="BH241" s="432" t="s">
        <v>619</v>
      </c>
      <c r="BI241" s="427" t="s">
        <v>2865</v>
      </c>
      <c r="BJ241" s="167">
        <v>9</v>
      </c>
      <c r="BK241" s="168" t="s">
        <v>2866</v>
      </c>
      <c r="BL241" s="167" t="s">
        <v>620</v>
      </c>
      <c r="BM241" s="168" t="s">
        <v>2867</v>
      </c>
      <c r="BN241" s="173">
        <v>5.125</v>
      </c>
      <c r="BO241" s="171" t="s">
        <v>2868</v>
      </c>
      <c r="BP241" s="435" t="s">
        <v>546</v>
      </c>
      <c r="BQ241" s="436"/>
      <c r="BR241" s="167" t="s">
        <v>619</v>
      </c>
      <c r="BS241" s="167"/>
      <c r="BT241" s="167" t="s">
        <v>619</v>
      </c>
      <c r="BU241" s="167"/>
      <c r="BV241" s="167" t="s">
        <v>619</v>
      </c>
      <c r="BW241" s="168"/>
      <c r="BX241" s="437" t="s">
        <v>619</v>
      </c>
      <c r="BY241" s="171"/>
      <c r="BZ241" s="432"/>
      <c r="CA241" s="168"/>
      <c r="CB241" s="167" t="s">
        <v>620</v>
      </c>
      <c r="CC241" s="168" t="s">
        <v>2869</v>
      </c>
      <c r="CD241" s="173">
        <v>7</v>
      </c>
      <c r="CE241" s="171" t="s">
        <v>2870</v>
      </c>
      <c r="CF241" s="373">
        <v>6</v>
      </c>
      <c r="CG241" s="175" t="s">
        <v>2871</v>
      </c>
      <c r="CH241" s="167">
        <v>4.5</v>
      </c>
      <c r="CI241" s="168" t="s">
        <v>2872</v>
      </c>
      <c r="CJ241" s="167">
        <v>7</v>
      </c>
      <c r="CK241" s="175" t="s">
        <v>2873</v>
      </c>
      <c r="CL241" s="445" t="s">
        <v>620</v>
      </c>
      <c r="CM241" s="461" t="s">
        <v>2874</v>
      </c>
      <c r="CN241" s="445" t="s">
        <v>620</v>
      </c>
      <c r="CO241" s="168" t="s">
        <v>2875</v>
      </c>
      <c r="CP241" s="167" t="s">
        <v>619</v>
      </c>
      <c r="CQ241" s="167"/>
      <c r="CR241" s="373" t="s">
        <v>620</v>
      </c>
      <c r="CS241" s="454" t="s">
        <v>2876</v>
      </c>
      <c r="CT241" s="432" t="s">
        <v>620</v>
      </c>
      <c r="CU241" s="168" t="s">
        <v>2877</v>
      </c>
      <c r="CV241" s="432" t="s">
        <v>620</v>
      </c>
      <c r="CW241" s="168"/>
      <c r="CX241" s="168" t="s">
        <v>620</v>
      </c>
      <c r="CY241" s="168" t="s">
        <v>2878</v>
      </c>
      <c r="CZ241" s="173" t="s">
        <v>619</v>
      </c>
      <c r="DA241" s="171"/>
      <c r="DB241" s="371"/>
      <c r="DC241" s="371"/>
      <c r="DD241" s="371"/>
      <c r="DE241" s="371"/>
      <c r="DF241" s="371"/>
      <c r="DG241" s="371"/>
      <c r="DH241" s="371"/>
      <c r="DI241" s="371"/>
      <c r="DJ241" s="371"/>
      <c r="DK241" s="371"/>
      <c r="DL241" s="371"/>
      <c r="DM241" s="371"/>
      <c r="DN241" s="371"/>
      <c r="DO241" s="371"/>
      <c r="DP241" s="371"/>
      <c r="DQ241" s="371"/>
      <c r="DR241" s="371"/>
    </row>
    <row r="242" spans="1:122" ht="112.5" x14ac:dyDescent="0.3">
      <c r="A242" s="325"/>
      <c r="B242" s="326">
        <v>187</v>
      </c>
      <c r="C242" s="327"/>
      <c r="D242" s="424"/>
      <c r="E242" s="440"/>
      <c r="F242" s="173"/>
      <c r="G242" s="173"/>
      <c r="H242" s="373" t="s">
        <v>620</v>
      </c>
      <c r="I242" s="427" t="s">
        <v>2879</v>
      </c>
      <c r="J242" s="173" t="s">
        <v>546</v>
      </c>
      <c r="K242" s="371"/>
      <c r="L242" s="426" t="s">
        <v>546</v>
      </c>
      <c r="M242" s="427"/>
      <c r="N242" s="173" t="s">
        <v>546</v>
      </c>
      <c r="O242" s="171"/>
      <c r="P242" s="373" t="s">
        <v>546</v>
      </c>
      <c r="Q242" s="427"/>
      <c r="R242" s="374" t="s">
        <v>546</v>
      </c>
      <c r="S242" s="168"/>
      <c r="T242" s="375">
        <v>5.75</v>
      </c>
      <c r="U242" s="605" t="s">
        <v>2880</v>
      </c>
      <c r="V242" s="429" t="s">
        <v>620</v>
      </c>
      <c r="W242" s="462" t="s">
        <v>2881</v>
      </c>
      <c r="X242" s="167" t="s">
        <v>546</v>
      </c>
      <c r="Y242" s="168"/>
      <c r="Z242" s="167" t="s">
        <v>546</v>
      </c>
      <c r="AA242" s="168"/>
      <c r="AB242" s="167" t="s">
        <v>546</v>
      </c>
      <c r="AC242" s="168"/>
      <c r="AD242" s="430"/>
      <c r="AE242" s="168"/>
      <c r="AF242" s="173" t="s">
        <v>620</v>
      </c>
      <c r="AG242" s="171" t="s">
        <v>2882</v>
      </c>
      <c r="AH242" s="167" t="s">
        <v>546</v>
      </c>
      <c r="AI242" s="168"/>
      <c r="AJ242" s="373" t="s">
        <v>546</v>
      </c>
      <c r="AK242" s="431"/>
      <c r="AL242" s="167" t="s">
        <v>620</v>
      </c>
      <c r="AM242" s="168" t="s">
        <v>2883</v>
      </c>
      <c r="AN242" s="173" t="s">
        <v>546</v>
      </c>
      <c r="AO242" s="171"/>
      <c r="AP242" s="475" t="s">
        <v>620</v>
      </c>
      <c r="AQ242" s="453" t="s">
        <v>2884</v>
      </c>
      <c r="AR242" s="173" t="s">
        <v>546</v>
      </c>
      <c r="AS242" s="171"/>
      <c r="AT242" s="173" t="s">
        <v>546</v>
      </c>
      <c r="AU242" s="171"/>
      <c r="AV242" s="381" t="s">
        <v>546</v>
      </c>
      <c r="AW242" s="167"/>
      <c r="AX242" s="433"/>
      <c r="AY242" s="427"/>
      <c r="AZ242" s="167" t="s">
        <v>546</v>
      </c>
      <c r="BA242" s="427"/>
      <c r="BB242" s="164" t="s">
        <v>546</v>
      </c>
      <c r="BC242" s="167"/>
      <c r="BD242" s="432"/>
      <c r="BE242" s="427"/>
      <c r="BF242" s="384" t="s">
        <v>546</v>
      </c>
      <c r="BG242" s="168"/>
      <c r="BH242" s="432" t="s">
        <v>546</v>
      </c>
      <c r="BI242" s="373"/>
      <c r="BJ242" s="167"/>
      <c r="BK242" s="167"/>
      <c r="BL242" s="167">
        <v>5</v>
      </c>
      <c r="BM242" s="168" t="s">
        <v>2885</v>
      </c>
      <c r="BN242" s="173" t="s">
        <v>546</v>
      </c>
      <c r="BO242" s="171"/>
      <c r="BP242" s="435" t="s">
        <v>546</v>
      </c>
      <c r="BQ242" s="436"/>
      <c r="BR242" s="167" t="s">
        <v>546</v>
      </c>
      <c r="BS242" s="167"/>
      <c r="BT242" s="167" t="s">
        <v>546</v>
      </c>
      <c r="BU242" s="167"/>
      <c r="BV242" s="167" t="s">
        <v>546</v>
      </c>
      <c r="BW242" s="167"/>
      <c r="BX242" s="437" t="s">
        <v>546</v>
      </c>
      <c r="BY242" s="171"/>
      <c r="BZ242" s="432"/>
      <c r="CA242" s="168"/>
      <c r="CB242" s="167"/>
      <c r="CC242" s="167"/>
      <c r="CD242" s="173">
        <v>13</v>
      </c>
      <c r="CE242" s="171" t="s">
        <v>2886</v>
      </c>
      <c r="CF242" s="373">
        <v>6</v>
      </c>
      <c r="CG242" s="175" t="s">
        <v>2887</v>
      </c>
      <c r="CH242" s="167" t="s">
        <v>546</v>
      </c>
      <c r="CI242" s="168"/>
      <c r="CJ242" s="167">
        <v>7</v>
      </c>
      <c r="CK242" s="168" t="s">
        <v>2888</v>
      </c>
      <c r="CL242" s="385" t="s">
        <v>546</v>
      </c>
      <c r="CM242" s="168"/>
      <c r="CN242" s="435"/>
      <c r="CO242" s="168"/>
      <c r="CP242" s="167" t="s">
        <v>546</v>
      </c>
      <c r="CQ242" s="167"/>
      <c r="CR242" s="373" t="s">
        <v>546</v>
      </c>
      <c r="CS242" s="373"/>
      <c r="CT242" s="432" t="s">
        <v>546</v>
      </c>
      <c r="CU242" s="168" t="s">
        <v>546</v>
      </c>
      <c r="CV242" s="432" t="s">
        <v>546</v>
      </c>
      <c r="CW242" s="168"/>
      <c r="CX242" s="168" t="s">
        <v>546</v>
      </c>
      <c r="CY242" s="168"/>
      <c r="CZ242" s="173"/>
      <c r="DA242" s="171"/>
      <c r="DB242" s="371"/>
      <c r="DC242" s="371"/>
      <c r="DD242" s="371"/>
      <c r="DE242" s="371"/>
      <c r="DF242" s="371"/>
      <c r="DG242" s="371"/>
      <c r="DH242" s="371"/>
      <c r="DI242" s="371"/>
      <c r="DJ242" s="371"/>
      <c r="DK242" s="371"/>
      <c r="DL242" s="371"/>
      <c r="DM242" s="371"/>
      <c r="DN242" s="371"/>
      <c r="DO242" s="371"/>
      <c r="DP242" s="371"/>
      <c r="DQ242" s="371"/>
      <c r="DR242" s="371"/>
    </row>
    <row r="243" spans="1:122" ht="18.75" x14ac:dyDescent="0.3">
      <c r="A243" s="325"/>
      <c r="B243" s="326">
        <v>188</v>
      </c>
      <c r="C243" s="327"/>
      <c r="D243" s="171"/>
      <c r="E243" s="268"/>
      <c r="F243" s="173"/>
      <c r="G243" s="173"/>
      <c r="H243" s="373"/>
      <c r="I243" s="427"/>
      <c r="J243" s="173" t="s">
        <v>546</v>
      </c>
      <c r="K243" s="371"/>
      <c r="L243" s="426"/>
      <c r="M243" s="373"/>
      <c r="N243" s="173"/>
      <c r="O243" s="171"/>
      <c r="P243" s="373"/>
      <c r="Q243" s="373"/>
      <c r="R243" s="374"/>
      <c r="S243" s="167"/>
      <c r="T243" s="375">
        <v>5.75</v>
      </c>
      <c r="U243" s="376" t="s">
        <v>2889</v>
      </c>
      <c r="V243" s="429" t="s">
        <v>620</v>
      </c>
      <c r="W243" s="462" t="s">
        <v>2890</v>
      </c>
      <c r="X243" s="167" t="s">
        <v>546</v>
      </c>
      <c r="Y243" s="167"/>
      <c r="Z243" s="167"/>
      <c r="AA243" s="167"/>
      <c r="AB243" s="167"/>
      <c r="AC243" s="167"/>
      <c r="AD243" s="430" t="s">
        <v>546</v>
      </c>
      <c r="AE243" s="167"/>
      <c r="AF243" s="173" t="s">
        <v>620</v>
      </c>
      <c r="AG243" s="171" t="s">
        <v>2891</v>
      </c>
      <c r="AH243" s="167" t="s">
        <v>546</v>
      </c>
      <c r="AI243" s="167"/>
      <c r="AJ243" s="373" t="s">
        <v>546</v>
      </c>
      <c r="AK243" s="431"/>
      <c r="AL243" s="167" t="s">
        <v>620</v>
      </c>
      <c r="AM243" s="168" t="s">
        <v>2892</v>
      </c>
      <c r="AN243" s="173" t="s">
        <v>546</v>
      </c>
      <c r="AO243" s="171"/>
      <c r="AP243" s="432"/>
      <c r="AQ243" s="168"/>
      <c r="AR243" s="173"/>
      <c r="AS243" s="171"/>
      <c r="AT243" s="173"/>
      <c r="AU243" s="171"/>
      <c r="AV243" s="381"/>
      <c r="AW243" s="168"/>
      <c r="AX243" s="433"/>
      <c r="AY243" s="427"/>
      <c r="AZ243" s="167"/>
      <c r="BA243" s="427"/>
      <c r="BB243" s="164"/>
      <c r="BC243" s="168"/>
      <c r="BD243" s="432"/>
      <c r="BE243" s="427"/>
      <c r="BF243" s="384"/>
      <c r="BG243" s="168"/>
      <c r="BH243" s="432"/>
      <c r="BI243" s="427"/>
      <c r="BJ243" s="167"/>
      <c r="BK243" s="168"/>
      <c r="BL243" s="167">
        <v>6</v>
      </c>
      <c r="BM243" s="168" t="s">
        <v>2893</v>
      </c>
      <c r="BN243" s="173" t="s">
        <v>546</v>
      </c>
      <c r="BO243" s="171"/>
      <c r="BP243" s="435"/>
      <c r="BQ243" s="436"/>
      <c r="BR243" s="167"/>
      <c r="BS243" s="167"/>
      <c r="BT243" s="167"/>
      <c r="BU243" s="168"/>
      <c r="BV243" s="167"/>
      <c r="BW243" s="167"/>
      <c r="BX243" s="437"/>
      <c r="BY243" s="171"/>
      <c r="BZ243" s="432"/>
      <c r="CA243" s="168"/>
      <c r="CB243" s="167"/>
      <c r="CC243" s="167"/>
      <c r="CD243" s="173">
        <v>8</v>
      </c>
      <c r="CE243" s="171" t="s">
        <v>2894</v>
      </c>
      <c r="CF243" s="373">
        <v>6</v>
      </c>
      <c r="CG243" s="175" t="s">
        <v>2895</v>
      </c>
      <c r="CH243" s="167" t="s">
        <v>546</v>
      </c>
      <c r="CI243" s="168"/>
      <c r="CJ243" s="167">
        <v>7</v>
      </c>
      <c r="CK243" s="168" t="s">
        <v>2896</v>
      </c>
      <c r="CL243" s="385" t="s">
        <v>546</v>
      </c>
      <c r="CM243" s="167"/>
      <c r="CN243" s="385"/>
      <c r="CO243" s="167"/>
      <c r="CP243" s="167"/>
      <c r="CQ243" s="168"/>
      <c r="CR243" s="373"/>
      <c r="CS243" s="427"/>
      <c r="CT243" s="432"/>
      <c r="CU243" s="168"/>
      <c r="CV243" s="432"/>
      <c r="CW243" s="168"/>
      <c r="CX243" s="168"/>
      <c r="CY243" s="168"/>
      <c r="CZ243" s="173"/>
      <c r="DA243" s="171"/>
      <c r="DB243" s="371"/>
      <c r="DC243" s="371"/>
      <c r="DD243" s="371"/>
      <c r="DE243" s="371"/>
      <c r="DF243" s="371"/>
      <c r="DG243" s="371"/>
      <c r="DH243" s="371"/>
      <c r="DI243" s="371"/>
      <c r="DJ243" s="371"/>
      <c r="DK243" s="371"/>
      <c r="DL243" s="371"/>
      <c r="DM243" s="371"/>
      <c r="DN243" s="371"/>
      <c r="DO243" s="371"/>
      <c r="DP243" s="371"/>
      <c r="DQ243" s="371"/>
      <c r="DR243" s="371"/>
    </row>
    <row r="244" spans="1:122" ht="18.75" x14ac:dyDescent="0.3">
      <c r="A244" s="371"/>
      <c r="B244" s="326"/>
      <c r="C244" s="327"/>
      <c r="D244" s="171"/>
      <c r="E244" s="268"/>
      <c r="F244" s="171"/>
      <c r="G244" s="171"/>
      <c r="H244" s="175"/>
      <c r="I244" s="175"/>
      <c r="J244" s="173"/>
      <c r="K244" s="371"/>
      <c r="L244" s="606"/>
      <c r="M244" s="174"/>
      <c r="N244" s="173"/>
      <c r="O244" s="171"/>
      <c r="P244" s="171"/>
      <c r="Q244" s="174"/>
      <c r="R244" s="607"/>
      <c r="S244" s="174"/>
      <c r="T244" s="375"/>
      <c r="U244" s="376"/>
      <c r="V244" s="171"/>
      <c r="W244" s="174" t="s">
        <v>2897</v>
      </c>
      <c r="X244" s="171" t="s">
        <v>546</v>
      </c>
      <c r="Y244" s="174"/>
      <c r="Z244" s="171"/>
      <c r="AA244" s="174"/>
      <c r="AB244" s="171"/>
      <c r="AC244" s="174"/>
      <c r="AD244" s="171"/>
      <c r="AE244" s="171"/>
      <c r="AF244" s="173"/>
      <c r="AG244" s="171"/>
      <c r="AH244" s="171"/>
      <c r="AI244" s="174"/>
      <c r="AJ244" s="171"/>
      <c r="AK244" s="174"/>
      <c r="AL244" s="173"/>
      <c r="AM244" s="174"/>
      <c r="AN244" s="173"/>
      <c r="AO244" s="171"/>
      <c r="AP244" s="171"/>
      <c r="AQ244" s="174"/>
      <c r="AR244" s="173"/>
      <c r="AS244" s="171"/>
      <c r="AT244" s="173"/>
      <c r="AU244" s="171"/>
      <c r="AV244" s="608"/>
      <c r="AW244" s="174"/>
      <c r="AX244" s="171"/>
      <c r="AY244" s="174"/>
      <c r="AZ244" s="171"/>
      <c r="BA244" s="174"/>
      <c r="BB244" s="171"/>
      <c r="BC244" s="174"/>
      <c r="BD244" s="171"/>
      <c r="BE244" s="174"/>
      <c r="BF244" s="608"/>
      <c r="BG244" s="174"/>
      <c r="BH244" s="171"/>
      <c r="BI244" s="174"/>
      <c r="BJ244" s="171"/>
      <c r="BK244" s="174"/>
      <c r="BL244" s="171"/>
      <c r="BM244" s="444"/>
      <c r="BN244" s="173"/>
      <c r="BO244" s="171"/>
      <c r="BP244" s="171"/>
      <c r="BQ244" s="174"/>
      <c r="BR244" s="171"/>
      <c r="BS244" s="174"/>
      <c r="BT244" s="171"/>
      <c r="BU244" s="174"/>
      <c r="BV244" s="171"/>
      <c r="BW244" s="174"/>
      <c r="BX244" s="437"/>
      <c r="BY244" s="171"/>
      <c r="BZ244" s="171"/>
      <c r="CA244" s="174"/>
      <c r="CB244" s="171"/>
      <c r="CC244" s="174"/>
      <c r="CD244" s="173"/>
      <c r="CE244" s="171"/>
      <c r="CF244" s="171"/>
      <c r="CG244" s="174"/>
      <c r="CH244" s="171"/>
      <c r="CI244" s="174"/>
      <c r="CJ244" s="171"/>
      <c r="CK244" s="174"/>
      <c r="CL244" s="173"/>
      <c r="CM244" s="174"/>
      <c r="CN244" s="171"/>
      <c r="CO244" s="174"/>
      <c r="CP244" s="171"/>
      <c r="CQ244" s="174"/>
      <c r="CR244" s="431"/>
      <c r="CS244" s="431"/>
      <c r="CT244" s="447"/>
      <c r="CU244" s="444"/>
      <c r="CV244" s="171"/>
      <c r="CW244" s="174"/>
      <c r="CX244" s="174"/>
      <c r="CY244" s="174"/>
      <c r="CZ244" s="173"/>
      <c r="DA244" s="171"/>
      <c r="DB244" s="371"/>
      <c r="DC244" s="371"/>
      <c r="DD244" s="371"/>
      <c r="DE244" s="371"/>
      <c r="DF244" s="371"/>
      <c r="DG244" s="371"/>
      <c r="DH244" s="371"/>
      <c r="DI244" s="371"/>
      <c r="DJ244" s="371"/>
      <c r="DK244" s="371"/>
      <c r="DL244" s="371"/>
      <c r="DM244" s="371"/>
      <c r="DN244" s="371"/>
      <c r="DO244" s="371"/>
      <c r="DP244" s="371"/>
      <c r="DQ244" s="371"/>
      <c r="DR244" s="371"/>
    </row>
    <row r="245" spans="1:122" ht="18.75" x14ac:dyDescent="0.3">
      <c r="A245" s="397"/>
      <c r="B245" s="390"/>
      <c r="C245" s="609" t="s">
        <v>2898</v>
      </c>
      <c r="D245" s="172"/>
      <c r="E245" s="610"/>
      <c r="F245" s="172"/>
      <c r="G245" s="172"/>
      <c r="H245" s="399"/>
      <c r="I245" s="399"/>
      <c r="J245" s="394"/>
      <c r="K245" s="397"/>
      <c r="L245" s="611"/>
      <c r="M245" s="439"/>
      <c r="N245" s="394"/>
      <c r="O245" s="172"/>
      <c r="P245" s="172"/>
      <c r="Q245" s="439"/>
      <c r="R245" s="612"/>
      <c r="S245" s="439"/>
      <c r="T245" s="601"/>
      <c r="U245" s="404"/>
      <c r="V245" s="172"/>
      <c r="W245" s="439"/>
      <c r="X245" s="172"/>
      <c r="Y245" s="439"/>
      <c r="Z245" s="172"/>
      <c r="AA245" s="439"/>
      <c r="AB245" s="172"/>
      <c r="AC245" s="439"/>
      <c r="AD245" s="172"/>
      <c r="AE245" s="172"/>
      <c r="AF245" s="394"/>
      <c r="AG245" s="172"/>
      <c r="AH245" s="172"/>
      <c r="AI245" s="439"/>
      <c r="AJ245" s="172"/>
      <c r="AK245" s="439"/>
      <c r="AL245" s="394"/>
      <c r="AM245" s="439"/>
      <c r="AN245" s="394"/>
      <c r="AO245" s="172"/>
      <c r="AP245" s="172"/>
      <c r="AQ245" s="439"/>
      <c r="AR245" s="394"/>
      <c r="AS245" s="172"/>
      <c r="AT245" s="394"/>
      <c r="AU245" s="172"/>
      <c r="AV245" s="613"/>
      <c r="AW245" s="439"/>
      <c r="AX245" s="172"/>
      <c r="AY245" s="439"/>
      <c r="AZ245" s="172"/>
      <c r="BA245" s="439"/>
      <c r="BB245" s="172"/>
      <c r="BC245" s="439"/>
      <c r="BD245" s="172"/>
      <c r="BE245" s="439"/>
      <c r="BF245" s="613"/>
      <c r="BG245" s="439"/>
      <c r="BH245" s="172"/>
      <c r="BI245" s="439"/>
      <c r="BJ245" s="172"/>
      <c r="BK245" s="439"/>
      <c r="BL245" s="172"/>
      <c r="BM245" s="451"/>
      <c r="BN245" s="394"/>
      <c r="BO245" s="172"/>
      <c r="BP245" s="172"/>
      <c r="BQ245" s="439"/>
      <c r="BR245" s="172"/>
      <c r="BS245" s="439"/>
      <c r="BT245" s="172"/>
      <c r="BU245" s="439"/>
      <c r="BV245" s="172"/>
      <c r="BW245" s="439"/>
      <c r="BX245" s="420"/>
      <c r="BY245" s="172"/>
      <c r="BZ245" s="172"/>
      <c r="CA245" s="439"/>
      <c r="CB245" s="172"/>
      <c r="CC245" s="439"/>
      <c r="CD245" s="394"/>
      <c r="CE245" s="172"/>
      <c r="CF245" s="172"/>
      <c r="CG245" s="439"/>
      <c r="CH245" s="172"/>
      <c r="CI245" s="439"/>
      <c r="CJ245" s="172"/>
      <c r="CK245" s="439"/>
      <c r="CL245" s="394"/>
      <c r="CM245" s="439"/>
      <c r="CN245" s="172"/>
      <c r="CO245" s="439"/>
      <c r="CP245" s="172"/>
      <c r="CQ245" s="439"/>
      <c r="CR245" s="409"/>
      <c r="CS245" s="409"/>
      <c r="CT245" s="452"/>
      <c r="CU245" s="451"/>
      <c r="CV245" s="172"/>
      <c r="CW245" s="439"/>
      <c r="CX245" s="439"/>
      <c r="CY245" s="439"/>
      <c r="CZ245" s="394"/>
      <c r="DA245" s="172"/>
      <c r="DB245" s="397"/>
      <c r="DC245" s="397"/>
      <c r="DD245" s="397"/>
      <c r="DE245" s="397"/>
      <c r="DF245" s="397"/>
      <c r="DG245" s="397"/>
      <c r="DH245" s="397"/>
      <c r="DI245" s="397"/>
      <c r="DJ245" s="397"/>
      <c r="DK245" s="397"/>
      <c r="DL245" s="397"/>
      <c r="DM245" s="397"/>
      <c r="DN245" s="397"/>
      <c r="DO245" s="397"/>
      <c r="DP245" s="397"/>
      <c r="DQ245" s="397"/>
      <c r="DR245" s="397"/>
    </row>
    <row r="246" spans="1:122" ht="18.75" x14ac:dyDescent="0.3">
      <c r="A246" s="371"/>
      <c r="B246" s="326">
        <v>189</v>
      </c>
      <c r="C246" s="327" t="s">
        <v>2899</v>
      </c>
      <c r="D246" s="173" t="s">
        <v>834</v>
      </c>
      <c r="E246" s="614" t="s">
        <v>2900</v>
      </c>
      <c r="F246" s="171" t="s">
        <v>546</v>
      </c>
      <c r="G246" s="171"/>
      <c r="H246" s="167" t="s">
        <v>834</v>
      </c>
      <c r="I246" s="175"/>
      <c r="J246" s="173"/>
      <c r="K246" s="371"/>
      <c r="L246" s="426"/>
      <c r="M246" s="174"/>
      <c r="N246" s="173" t="s">
        <v>834</v>
      </c>
      <c r="O246" s="171"/>
      <c r="P246" s="373">
        <v>1</v>
      </c>
      <c r="Q246" s="174"/>
      <c r="R246" s="374">
        <v>0.39800000000000002</v>
      </c>
      <c r="S246" s="168" t="s">
        <v>837</v>
      </c>
      <c r="T246" s="375">
        <f>T247</f>
        <v>5.75</v>
      </c>
      <c r="U246" s="376"/>
      <c r="V246" s="171"/>
      <c r="W246" s="174" t="s">
        <v>2901</v>
      </c>
      <c r="X246" s="171" t="s">
        <v>546</v>
      </c>
      <c r="Y246" s="174"/>
      <c r="Z246" s="171">
        <v>4</v>
      </c>
      <c r="AA246" s="174"/>
      <c r="AB246" s="173" t="s">
        <v>834</v>
      </c>
      <c r="AC246" s="174"/>
      <c r="AD246" s="173" t="s">
        <v>834</v>
      </c>
      <c r="AE246" s="171"/>
      <c r="AF246" s="173">
        <v>7</v>
      </c>
      <c r="AG246" s="171" t="s">
        <v>2902</v>
      </c>
      <c r="AH246" s="615" t="s">
        <v>834</v>
      </c>
      <c r="AI246" s="174"/>
      <c r="AJ246" s="616" t="s">
        <v>834</v>
      </c>
      <c r="AK246" s="174"/>
      <c r="AL246" s="173" t="s">
        <v>834</v>
      </c>
      <c r="AM246" s="174"/>
      <c r="AN246" s="173"/>
      <c r="AO246" s="171"/>
      <c r="AP246" s="171" t="s">
        <v>834</v>
      </c>
      <c r="AQ246" s="174"/>
      <c r="AR246" s="173"/>
      <c r="AS246" s="171"/>
      <c r="AT246" s="173"/>
      <c r="AU246" s="171"/>
      <c r="AV246" s="608"/>
      <c r="AW246" s="174"/>
      <c r="AX246" s="171" t="s">
        <v>834</v>
      </c>
      <c r="AY246" s="174"/>
      <c r="AZ246" s="173">
        <f>AZ247</f>
        <v>7</v>
      </c>
      <c r="BA246" s="174"/>
      <c r="BB246" s="173" t="s">
        <v>834</v>
      </c>
      <c r="BC246" s="174"/>
      <c r="BD246" s="171"/>
      <c r="BE246" s="174"/>
      <c r="BF246" s="558" t="s">
        <v>834</v>
      </c>
      <c r="BG246" s="174"/>
      <c r="BH246" s="171" t="s">
        <v>834</v>
      </c>
      <c r="BI246" s="174"/>
      <c r="BJ246" s="171"/>
      <c r="BK246" s="174"/>
      <c r="BL246" s="167" t="s">
        <v>834</v>
      </c>
      <c r="BM246" s="444" t="s">
        <v>2903</v>
      </c>
      <c r="BN246" s="173" t="s">
        <v>546</v>
      </c>
      <c r="BO246" s="171"/>
      <c r="BP246" s="466">
        <v>4</v>
      </c>
      <c r="BQ246" s="174"/>
      <c r="BR246" s="171"/>
      <c r="BS246" s="174"/>
      <c r="BT246" s="171"/>
      <c r="BU246" s="174"/>
      <c r="BV246" s="173">
        <v>5.75</v>
      </c>
      <c r="BW246" s="444" t="s">
        <v>2904</v>
      </c>
      <c r="BX246" s="437" t="s">
        <v>546</v>
      </c>
      <c r="BY246" s="171"/>
      <c r="BZ246" s="171"/>
      <c r="CA246" s="174"/>
      <c r="CB246" s="171">
        <v>6</v>
      </c>
      <c r="CC246" s="174"/>
      <c r="CD246" s="173"/>
      <c r="CE246" s="171"/>
      <c r="CF246" s="617">
        <v>6</v>
      </c>
      <c r="CG246" s="174" t="s">
        <v>2905</v>
      </c>
      <c r="CH246" s="171">
        <v>4.5</v>
      </c>
      <c r="CI246" s="174" t="s">
        <v>2087</v>
      </c>
      <c r="CJ246" s="173">
        <v>7</v>
      </c>
      <c r="CK246" s="174"/>
      <c r="CL246" s="618">
        <v>6.25</v>
      </c>
      <c r="CM246" s="619" t="s">
        <v>2906</v>
      </c>
      <c r="CN246" s="620" t="s">
        <v>620</v>
      </c>
      <c r="CO246" s="589" t="s">
        <v>2907</v>
      </c>
      <c r="CP246" s="173" t="s">
        <v>834</v>
      </c>
      <c r="CQ246" s="174"/>
      <c r="CR246" s="489" t="s">
        <v>834</v>
      </c>
      <c r="CS246" s="621" t="s">
        <v>2908</v>
      </c>
      <c r="CT246" s="447"/>
      <c r="CU246" s="444"/>
      <c r="CV246" s="167">
        <v>6</v>
      </c>
      <c r="CW246" s="444" t="s">
        <v>2909</v>
      </c>
      <c r="CX246" s="444" t="s">
        <v>834</v>
      </c>
      <c r="CY246" s="444" t="s">
        <v>2910</v>
      </c>
      <c r="CZ246" s="173" t="s">
        <v>834</v>
      </c>
      <c r="DA246" s="171"/>
      <c r="DB246" s="371"/>
      <c r="DC246" s="371">
        <f t="shared" ref="DC246:DC249" si="22">COUNT(D246:CZ246)</f>
        <v>14</v>
      </c>
      <c r="DD246" s="371"/>
      <c r="DE246" s="371"/>
      <c r="DF246" s="371"/>
      <c r="DG246" s="371"/>
      <c r="DH246" s="371"/>
      <c r="DI246" s="371"/>
      <c r="DJ246" s="371"/>
      <c r="DK246" s="371"/>
      <c r="DL246" s="371"/>
      <c r="DM246" s="371"/>
      <c r="DN246" s="371"/>
      <c r="DO246" s="371"/>
      <c r="DP246" s="371"/>
      <c r="DQ246" s="371"/>
      <c r="DR246" s="371"/>
    </row>
    <row r="247" spans="1:122" ht="18.75" x14ac:dyDescent="0.3">
      <c r="A247" s="371"/>
      <c r="B247" s="326">
        <v>190</v>
      </c>
      <c r="C247" s="327" t="s">
        <v>2911</v>
      </c>
      <c r="D247" s="173" t="s">
        <v>834</v>
      </c>
      <c r="E247" s="614" t="s">
        <v>2900</v>
      </c>
      <c r="F247" s="171" t="s">
        <v>546</v>
      </c>
      <c r="G247" s="171"/>
      <c r="H247" s="167" t="s">
        <v>834</v>
      </c>
      <c r="I247" s="175"/>
      <c r="J247" s="173"/>
      <c r="K247" s="371"/>
      <c r="L247" s="426" t="s">
        <v>834</v>
      </c>
      <c r="M247" s="174"/>
      <c r="N247" s="173" t="s">
        <v>834</v>
      </c>
      <c r="O247" s="171"/>
      <c r="P247" s="373">
        <v>1</v>
      </c>
      <c r="Q247" s="174"/>
      <c r="R247" s="374">
        <v>0.39800000000000002</v>
      </c>
      <c r="S247" s="168" t="s">
        <v>837</v>
      </c>
      <c r="T247" s="375">
        <v>5.75</v>
      </c>
      <c r="U247" s="622"/>
      <c r="V247" s="171"/>
      <c r="W247" s="174"/>
      <c r="X247" s="171"/>
      <c r="Y247" s="174"/>
      <c r="Z247" s="171">
        <v>4</v>
      </c>
      <c r="AA247" s="174"/>
      <c r="AB247" s="173" t="s">
        <v>834</v>
      </c>
      <c r="AC247" s="174"/>
      <c r="AD247" s="173" t="s">
        <v>834</v>
      </c>
      <c r="AE247" s="171"/>
      <c r="AF247" s="173">
        <v>7</v>
      </c>
      <c r="AG247" s="171" t="s">
        <v>2902</v>
      </c>
      <c r="AH247" s="615" t="s">
        <v>834</v>
      </c>
      <c r="AI247" s="174"/>
      <c r="AJ247" s="616" t="s">
        <v>834</v>
      </c>
      <c r="AK247" s="174"/>
      <c r="AL247" s="173" t="s">
        <v>834</v>
      </c>
      <c r="AM247" s="174"/>
      <c r="AN247" s="173"/>
      <c r="AO247" s="171"/>
      <c r="AP247" s="171" t="s">
        <v>834</v>
      </c>
      <c r="AQ247" s="174"/>
      <c r="AR247" s="173"/>
      <c r="AS247" s="171"/>
      <c r="AT247" s="173"/>
      <c r="AU247" s="171"/>
      <c r="AV247" s="623" t="s">
        <v>834</v>
      </c>
      <c r="AW247" s="174" t="s">
        <v>2912</v>
      </c>
      <c r="AX247" s="171" t="s">
        <v>834</v>
      </c>
      <c r="AY247" s="174"/>
      <c r="AZ247" s="544">
        <v>7</v>
      </c>
      <c r="BA247" s="174"/>
      <c r="BB247" s="173" t="s">
        <v>834</v>
      </c>
      <c r="BC247" s="174"/>
      <c r="BD247" s="171"/>
      <c r="BE247" s="174"/>
      <c r="BF247" s="558" t="s">
        <v>834</v>
      </c>
      <c r="BG247" s="174"/>
      <c r="BH247" s="171" t="s">
        <v>834</v>
      </c>
      <c r="BI247" s="174"/>
      <c r="BJ247" s="171"/>
      <c r="BK247" s="174"/>
      <c r="BL247" s="167" t="s">
        <v>834</v>
      </c>
      <c r="BM247" s="444" t="s">
        <v>2903</v>
      </c>
      <c r="BN247" s="173" t="s">
        <v>546</v>
      </c>
      <c r="BO247" s="171"/>
      <c r="BP247" s="466">
        <v>4</v>
      </c>
      <c r="BQ247" s="174"/>
      <c r="BR247" s="173" t="s">
        <v>834</v>
      </c>
      <c r="BS247" s="174"/>
      <c r="BT247" s="173" t="s">
        <v>834</v>
      </c>
      <c r="BU247" s="574" t="s">
        <v>2913</v>
      </c>
      <c r="BV247" s="173" t="s">
        <v>834</v>
      </c>
      <c r="BW247" s="444"/>
      <c r="BX247" s="437"/>
      <c r="BY247" s="171"/>
      <c r="BZ247" s="171"/>
      <c r="CA247" s="174"/>
      <c r="CB247" s="171">
        <v>6</v>
      </c>
      <c r="CC247" s="174"/>
      <c r="CD247" s="173" t="s">
        <v>834</v>
      </c>
      <c r="CE247" s="171"/>
      <c r="CF247" s="617">
        <v>6</v>
      </c>
      <c r="CG247" s="174" t="s">
        <v>2914</v>
      </c>
      <c r="CH247" s="171">
        <v>4.5</v>
      </c>
      <c r="CI247" s="174" t="s">
        <v>2087</v>
      </c>
      <c r="CJ247" s="167">
        <v>7</v>
      </c>
      <c r="CK247" s="174"/>
      <c r="CL247" s="624">
        <v>6.25</v>
      </c>
      <c r="CM247" s="589"/>
      <c r="CN247" s="620" t="s">
        <v>620</v>
      </c>
      <c r="CO247" s="589" t="s">
        <v>2907</v>
      </c>
      <c r="CP247" s="173" t="s">
        <v>834</v>
      </c>
      <c r="CQ247" s="174"/>
      <c r="CR247" s="489" t="s">
        <v>834</v>
      </c>
      <c r="CS247" s="431"/>
      <c r="CT247" s="455">
        <v>6.5</v>
      </c>
      <c r="CU247" s="168" t="s">
        <v>938</v>
      </c>
      <c r="CV247" s="167">
        <v>6</v>
      </c>
      <c r="CW247" s="444" t="s">
        <v>2909</v>
      </c>
      <c r="CX247" s="444" t="s">
        <v>834</v>
      </c>
      <c r="CY247" s="444" t="s">
        <v>2915</v>
      </c>
      <c r="CZ247" s="173" t="s">
        <v>834</v>
      </c>
      <c r="DA247" s="171"/>
      <c r="DB247" s="371"/>
      <c r="DC247" s="371">
        <f t="shared" si="22"/>
        <v>14</v>
      </c>
      <c r="DD247" s="371"/>
      <c r="DE247" s="371"/>
      <c r="DF247" s="371"/>
      <c r="DG247" s="371"/>
      <c r="DH247" s="371"/>
      <c r="DI247" s="371"/>
      <c r="DJ247" s="371"/>
      <c r="DK247" s="371"/>
      <c r="DL247" s="371"/>
      <c r="DM247" s="371"/>
      <c r="DN247" s="371"/>
      <c r="DO247" s="371"/>
      <c r="DP247" s="371"/>
      <c r="DQ247" s="371"/>
      <c r="DR247" s="371"/>
    </row>
    <row r="248" spans="1:122" ht="18.75" x14ac:dyDescent="0.3">
      <c r="A248" s="371"/>
      <c r="B248" s="326">
        <v>191</v>
      </c>
      <c r="C248" s="327" t="s">
        <v>2916</v>
      </c>
      <c r="D248" s="616" t="s">
        <v>834</v>
      </c>
      <c r="E248" s="614" t="s">
        <v>2917</v>
      </c>
      <c r="F248" s="171" t="s">
        <v>546</v>
      </c>
      <c r="G248" s="171"/>
      <c r="H248" s="167" t="s">
        <v>834</v>
      </c>
      <c r="I248" s="175"/>
      <c r="J248" s="173"/>
      <c r="K248" s="371"/>
      <c r="L248" s="426" t="s">
        <v>834</v>
      </c>
      <c r="M248" s="174"/>
      <c r="N248" s="173" t="s">
        <v>834</v>
      </c>
      <c r="O248" s="171"/>
      <c r="P248" s="373">
        <v>1</v>
      </c>
      <c r="Q248" s="174"/>
      <c r="R248" s="374">
        <v>0.39800000000000002</v>
      </c>
      <c r="S248" s="168" t="s">
        <v>837</v>
      </c>
      <c r="T248" s="375">
        <v>5.75</v>
      </c>
      <c r="U248" s="376"/>
      <c r="V248" s="171"/>
      <c r="W248" s="174"/>
      <c r="X248" s="171"/>
      <c r="Y248" s="174"/>
      <c r="Z248" s="171">
        <v>4</v>
      </c>
      <c r="AA248" s="174"/>
      <c r="AB248" s="173" t="s">
        <v>834</v>
      </c>
      <c r="AC248" s="174"/>
      <c r="AD248" s="173" t="s">
        <v>834</v>
      </c>
      <c r="AE248" s="171"/>
      <c r="AF248" s="173">
        <v>7</v>
      </c>
      <c r="AG248" s="171" t="s">
        <v>2902</v>
      </c>
      <c r="AH248" s="615" t="s">
        <v>834</v>
      </c>
      <c r="AI248" s="174"/>
      <c r="AJ248" s="616" t="s">
        <v>834</v>
      </c>
      <c r="AK248" s="174"/>
      <c r="AL248" s="173" t="s">
        <v>834</v>
      </c>
      <c r="AM248" s="174"/>
      <c r="AN248" s="173"/>
      <c r="AO248" s="171"/>
      <c r="AP248" s="171" t="s">
        <v>834</v>
      </c>
      <c r="AQ248" s="174"/>
      <c r="AR248" s="173"/>
      <c r="AS248" s="171"/>
      <c r="AT248" s="173"/>
      <c r="AU248" s="171"/>
      <c r="AV248" s="623" t="s">
        <v>834</v>
      </c>
      <c r="AW248" s="174" t="s">
        <v>2912</v>
      </c>
      <c r="AX248" s="171" t="s">
        <v>834</v>
      </c>
      <c r="AY248" s="174"/>
      <c r="AZ248" s="544">
        <v>7</v>
      </c>
      <c r="BA248" s="174"/>
      <c r="BB248" s="173" t="s">
        <v>834</v>
      </c>
      <c r="BC248" s="174"/>
      <c r="BD248" s="171"/>
      <c r="BE248" s="174"/>
      <c r="BF248" s="558" t="s">
        <v>834</v>
      </c>
      <c r="BG248" s="174"/>
      <c r="BH248" s="171" t="s">
        <v>834</v>
      </c>
      <c r="BI248" s="174"/>
      <c r="BJ248" s="171"/>
      <c r="BK248" s="174"/>
      <c r="BL248" s="167" t="s">
        <v>834</v>
      </c>
      <c r="BM248" s="444" t="s">
        <v>2903</v>
      </c>
      <c r="BN248" s="173" t="s">
        <v>546</v>
      </c>
      <c r="BO248" s="171"/>
      <c r="BP248" s="466">
        <v>4</v>
      </c>
      <c r="BQ248" s="174"/>
      <c r="BR248" s="173" t="s">
        <v>834</v>
      </c>
      <c r="BS248" s="174"/>
      <c r="BT248" s="173" t="s">
        <v>834</v>
      </c>
      <c r="BU248" s="625"/>
      <c r="BV248" s="173">
        <v>5.75</v>
      </c>
      <c r="BW248" s="444" t="s">
        <v>2918</v>
      </c>
      <c r="BX248" s="437" t="s">
        <v>546</v>
      </c>
      <c r="BY248" s="171"/>
      <c r="BZ248" s="171"/>
      <c r="CA248" s="174"/>
      <c r="CB248" s="171">
        <v>6</v>
      </c>
      <c r="CC248" s="174"/>
      <c r="CD248" s="173" t="s">
        <v>834</v>
      </c>
      <c r="CE248" s="171"/>
      <c r="CF248" s="617">
        <v>6</v>
      </c>
      <c r="CG248" s="174" t="s">
        <v>2914</v>
      </c>
      <c r="CH248" s="171">
        <v>4.5</v>
      </c>
      <c r="CI248" s="174" t="s">
        <v>2087</v>
      </c>
      <c r="CJ248" s="167">
        <v>7</v>
      </c>
      <c r="CK248" s="174"/>
      <c r="CL248" s="624">
        <v>6.25</v>
      </c>
      <c r="CM248" s="589"/>
      <c r="CN248" s="620" t="s">
        <v>620</v>
      </c>
      <c r="CO248" s="589" t="s">
        <v>2907</v>
      </c>
      <c r="CP248" s="173" t="s">
        <v>834</v>
      </c>
      <c r="CQ248" s="174"/>
      <c r="CR248" s="489" t="s">
        <v>834</v>
      </c>
      <c r="CS248" s="431"/>
      <c r="CT248" s="455">
        <v>6.5</v>
      </c>
      <c r="CU248" s="168" t="s">
        <v>938</v>
      </c>
      <c r="CV248" s="167">
        <v>6</v>
      </c>
      <c r="CW248" s="444" t="s">
        <v>2909</v>
      </c>
      <c r="CX248" s="444" t="s">
        <v>834</v>
      </c>
      <c r="CY248" s="444" t="s">
        <v>2919</v>
      </c>
      <c r="CZ248" s="173" t="s">
        <v>834</v>
      </c>
      <c r="DA248" s="171"/>
      <c r="DB248" s="371"/>
      <c r="DC248" s="371">
        <f t="shared" si="22"/>
        <v>15</v>
      </c>
      <c r="DD248" s="371"/>
      <c r="DE248" s="371"/>
      <c r="DF248" s="371"/>
      <c r="DG248" s="371"/>
      <c r="DH248" s="371"/>
      <c r="DI248" s="371"/>
      <c r="DJ248" s="371"/>
      <c r="DK248" s="371"/>
      <c r="DL248" s="371"/>
      <c r="DM248" s="371"/>
      <c r="DN248" s="371"/>
      <c r="DO248" s="371"/>
      <c r="DP248" s="371"/>
      <c r="DQ248" s="371"/>
      <c r="DR248" s="371"/>
    </row>
    <row r="249" spans="1:122" ht="18.75" x14ac:dyDescent="0.3">
      <c r="A249" s="371"/>
      <c r="B249" s="326">
        <v>192</v>
      </c>
      <c r="C249" s="327" t="s">
        <v>2920</v>
      </c>
      <c r="D249" s="616" t="s">
        <v>834</v>
      </c>
      <c r="E249" s="614" t="s">
        <v>2917</v>
      </c>
      <c r="F249" s="171" t="s">
        <v>546</v>
      </c>
      <c r="G249" s="171"/>
      <c r="H249" s="167" t="s">
        <v>834</v>
      </c>
      <c r="I249" s="175"/>
      <c r="J249" s="173"/>
      <c r="K249" s="371"/>
      <c r="L249" s="426" t="s">
        <v>834</v>
      </c>
      <c r="M249" s="174"/>
      <c r="N249" s="173" t="s">
        <v>834</v>
      </c>
      <c r="O249" s="171"/>
      <c r="P249" s="373">
        <v>1</v>
      </c>
      <c r="Q249" s="174"/>
      <c r="R249" s="374">
        <v>0.39800000000000002</v>
      </c>
      <c r="S249" s="168" t="s">
        <v>837</v>
      </c>
      <c r="T249" s="375">
        <v>5.75</v>
      </c>
      <c r="U249" s="376"/>
      <c r="V249" s="171"/>
      <c r="W249" s="174"/>
      <c r="X249" s="171"/>
      <c r="Y249" s="174"/>
      <c r="Z249" s="171">
        <v>4</v>
      </c>
      <c r="AA249" s="174"/>
      <c r="AB249" s="173" t="s">
        <v>834</v>
      </c>
      <c r="AC249" s="174"/>
      <c r="AD249" s="173" t="s">
        <v>834</v>
      </c>
      <c r="AE249" s="171"/>
      <c r="AF249" s="173">
        <v>7</v>
      </c>
      <c r="AG249" s="171" t="s">
        <v>2902</v>
      </c>
      <c r="AH249" s="615" t="s">
        <v>834</v>
      </c>
      <c r="AI249" s="174"/>
      <c r="AJ249" s="616" t="s">
        <v>834</v>
      </c>
      <c r="AK249" s="174"/>
      <c r="AL249" s="173" t="s">
        <v>834</v>
      </c>
      <c r="AM249" s="174"/>
      <c r="AN249" s="173"/>
      <c r="AO249" s="171"/>
      <c r="AP249" s="171" t="s">
        <v>834</v>
      </c>
      <c r="AQ249" s="174"/>
      <c r="AR249" s="173"/>
      <c r="AS249" s="171"/>
      <c r="AT249" s="173"/>
      <c r="AU249" s="171"/>
      <c r="AV249" s="623" t="s">
        <v>834</v>
      </c>
      <c r="AW249" s="174" t="s">
        <v>2912</v>
      </c>
      <c r="AX249" s="171" t="s">
        <v>834</v>
      </c>
      <c r="AY249" s="174"/>
      <c r="AZ249" s="544">
        <v>7</v>
      </c>
      <c r="BA249" s="174"/>
      <c r="BB249" s="173" t="s">
        <v>834</v>
      </c>
      <c r="BC249" s="174"/>
      <c r="BD249" s="171"/>
      <c r="BE249" s="174"/>
      <c r="BF249" s="558" t="s">
        <v>834</v>
      </c>
      <c r="BG249" s="174"/>
      <c r="BH249" s="171" t="s">
        <v>834</v>
      </c>
      <c r="BI249" s="174"/>
      <c r="BJ249" s="171"/>
      <c r="BK249" s="174"/>
      <c r="BL249" s="167" t="s">
        <v>834</v>
      </c>
      <c r="BM249" s="444" t="s">
        <v>2903</v>
      </c>
      <c r="BN249" s="173" t="s">
        <v>546</v>
      </c>
      <c r="BO249" s="171"/>
      <c r="BP249" s="365" t="s">
        <v>834</v>
      </c>
      <c r="BQ249" s="174"/>
      <c r="BR249" s="173" t="s">
        <v>834</v>
      </c>
      <c r="BS249" s="174"/>
      <c r="BT249" s="173" t="s">
        <v>834</v>
      </c>
      <c r="BU249" s="625"/>
      <c r="BV249" s="173">
        <v>5.75</v>
      </c>
      <c r="BW249" s="444" t="s">
        <v>2918</v>
      </c>
      <c r="BX249" s="437" t="s">
        <v>546</v>
      </c>
      <c r="BY249" s="171"/>
      <c r="BZ249" s="171"/>
      <c r="CA249" s="174"/>
      <c r="CB249" s="171">
        <v>6</v>
      </c>
      <c r="CC249" s="174" t="s">
        <v>2921</v>
      </c>
      <c r="CD249" s="173" t="s">
        <v>834</v>
      </c>
      <c r="CE249" s="171"/>
      <c r="CF249" s="617">
        <v>6</v>
      </c>
      <c r="CG249" s="174" t="s">
        <v>2914</v>
      </c>
      <c r="CH249" s="171">
        <v>4.5</v>
      </c>
      <c r="CI249" s="174" t="s">
        <v>2087</v>
      </c>
      <c r="CJ249" s="167">
        <v>7</v>
      </c>
      <c r="CK249" s="174"/>
      <c r="CL249" s="624">
        <v>6.25</v>
      </c>
      <c r="CM249" s="589"/>
      <c r="CN249" s="544" t="s">
        <v>619</v>
      </c>
      <c r="CO249" s="174"/>
      <c r="CP249" s="173" t="s">
        <v>834</v>
      </c>
      <c r="CQ249" s="174"/>
      <c r="CR249" s="489" t="s">
        <v>834</v>
      </c>
      <c r="CS249" s="431"/>
      <c r="CT249" s="455">
        <v>1.5</v>
      </c>
      <c r="CU249" s="168" t="s">
        <v>840</v>
      </c>
      <c r="CV249" s="167">
        <v>6</v>
      </c>
      <c r="CW249" s="444" t="s">
        <v>2909</v>
      </c>
      <c r="CX249" s="444" t="s">
        <v>834</v>
      </c>
      <c r="CY249" s="444" t="s">
        <v>2915</v>
      </c>
      <c r="CZ249" s="173" t="s">
        <v>834</v>
      </c>
      <c r="DA249" s="171"/>
      <c r="DB249" s="371"/>
      <c r="DC249" s="371">
        <f t="shared" si="22"/>
        <v>14</v>
      </c>
      <c r="DD249" s="371"/>
      <c r="DE249" s="371"/>
      <c r="DF249" s="371"/>
      <c r="DG249" s="371"/>
      <c r="DH249" s="371"/>
      <c r="DI249" s="371"/>
      <c r="DJ249" s="371"/>
      <c r="DK249" s="371"/>
      <c r="DL249" s="371"/>
      <c r="DM249" s="371"/>
      <c r="DN249" s="371"/>
      <c r="DO249" s="371"/>
      <c r="DP249" s="371"/>
      <c r="DQ249" s="371"/>
      <c r="DR249" s="371"/>
    </row>
    <row r="250" spans="1:122" ht="18.75" x14ac:dyDescent="0.3">
      <c r="A250" s="371"/>
      <c r="B250" s="326"/>
      <c r="C250" s="327"/>
      <c r="D250" s="171"/>
      <c r="E250" s="268"/>
      <c r="F250" s="171" t="s">
        <v>546</v>
      </c>
      <c r="G250" s="171"/>
      <c r="H250" s="167"/>
      <c r="I250" s="175"/>
      <c r="J250" s="173"/>
      <c r="K250" s="371"/>
      <c r="L250" s="606"/>
      <c r="M250" s="174"/>
      <c r="N250" s="173"/>
      <c r="O250" s="171"/>
      <c r="P250" s="171"/>
      <c r="Q250" s="174"/>
      <c r="R250" s="607"/>
      <c r="S250" s="174"/>
      <c r="T250" s="375"/>
      <c r="U250" s="376"/>
      <c r="V250" s="171"/>
      <c r="W250" s="174"/>
      <c r="X250" s="171"/>
      <c r="Y250" s="174"/>
      <c r="Z250" s="171"/>
      <c r="AA250" s="174"/>
      <c r="AB250" s="173"/>
      <c r="AC250" s="174"/>
      <c r="AD250" s="171"/>
      <c r="AE250" s="171"/>
      <c r="AF250" s="173"/>
      <c r="AG250" s="171"/>
      <c r="AH250" s="171"/>
      <c r="AI250" s="174"/>
      <c r="AJ250" s="171"/>
      <c r="AK250" s="174"/>
      <c r="AL250" s="173"/>
      <c r="AM250" s="174"/>
      <c r="AN250" s="173"/>
      <c r="AO250" s="171"/>
      <c r="AP250" s="171" t="s">
        <v>834</v>
      </c>
      <c r="AQ250" s="174"/>
      <c r="AR250" s="173"/>
      <c r="AS250" s="171"/>
      <c r="AT250" s="173"/>
      <c r="AU250" s="171"/>
      <c r="AV250" s="623"/>
      <c r="AW250" s="174"/>
      <c r="AX250" s="171"/>
      <c r="AY250" s="174"/>
      <c r="AZ250" s="544"/>
      <c r="BA250" s="174"/>
      <c r="BB250" s="171"/>
      <c r="BC250" s="174"/>
      <c r="BD250" s="171"/>
      <c r="BE250" s="174"/>
      <c r="BF250" s="623"/>
      <c r="BG250" s="174"/>
      <c r="BH250" s="171"/>
      <c r="BI250" s="174"/>
      <c r="BJ250" s="171"/>
      <c r="BK250" s="174"/>
      <c r="BL250" s="167"/>
      <c r="BM250" s="444"/>
      <c r="BN250" s="173" t="s">
        <v>546</v>
      </c>
      <c r="BO250" s="171"/>
      <c r="BP250" s="626"/>
      <c r="BQ250" s="174"/>
      <c r="BR250" s="171"/>
      <c r="BS250" s="174"/>
      <c r="BT250" s="173"/>
      <c r="BU250" s="174"/>
      <c r="BV250" s="171"/>
      <c r="BW250" s="444"/>
      <c r="BX250" s="437"/>
      <c r="BY250" s="171"/>
      <c r="BZ250" s="171"/>
      <c r="CA250" s="174"/>
      <c r="CB250" s="171"/>
      <c r="CC250" s="174"/>
      <c r="CD250" s="173"/>
      <c r="CE250" s="171"/>
      <c r="CF250" s="173"/>
      <c r="CG250" s="174"/>
      <c r="CH250" s="171"/>
      <c r="CI250" s="174"/>
      <c r="CJ250" s="627"/>
      <c r="CK250" s="174"/>
      <c r="CL250" s="544"/>
      <c r="CM250" s="174"/>
      <c r="CN250" s="615"/>
      <c r="CO250" s="174"/>
      <c r="CP250" s="171"/>
      <c r="CQ250" s="174"/>
      <c r="CR250" s="489"/>
      <c r="CS250" s="431"/>
      <c r="CT250" s="455"/>
      <c r="CU250" s="168"/>
      <c r="CV250" s="447"/>
      <c r="CW250" s="444"/>
      <c r="CX250" s="444"/>
      <c r="CY250" s="444"/>
      <c r="CZ250" s="173"/>
      <c r="DA250" s="171"/>
      <c r="DB250" s="371"/>
      <c r="DC250" s="371"/>
      <c r="DD250" s="371"/>
      <c r="DE250" s="371"/>
      <c r="DF250" s="371"/>
      <c r="DG250" s="371"/>
      <c r="DH250" s="371"/>
      <c r="DI250" s="371"/>
      <c r="DJ250" s="371"/>
      <c r="DK250" s="371"/>
      <c r="DL250" s="371"/>
      <c r="DM250" s="371"/>
      <c r="DN250" s="371"/>
      <c r="DO250" s="371"/>
      <c r="DP250" s="371"/>
      <c r="DQ250" s="371"/>
      <c r="DR250" s="371"/>
    </row>
    <row r="251" spans="1:122" ht="18.75" x14ac:dyDescent="0.3">
      <c r="A251" s="371"/>
      <c r="B251" s="326">
        <v>193</v>
      </c>
      <c r="C251" s="327" t="s">
        <v>2922</v>
      </c>
      <c r="D251" s="616" t="s">
        <v>834</v>
      </c>
      <c r="E251" s="614" t="s">
        <v>2923</v>
      </c>
      <c r="F251" s="171" t="s">
        <v>546</v>
      </c>
      <c r="G251" s="171"/>
      <c r="H251" s="167" t="s">
        <v>834</v>
      </c>
      <c r="I251" s="175"/>
      <c r="J251" s="173"/>
      <c r="K251" s="371"/>
      <c r="L251" s="606"/>
      <c r="M251" s="174"/>
      <c r="N251" s="173"/>
      <c r="O251" s="171" t="s">
        <v>2082</v>
      </c>
      <c r="P251" s="373">
        <v>1</v>
      </c>
      <c r="Q251" s="174"/>
      <c r="R251" s="374">
        <v>0.39800000000000002</v>
      </c>
      <c r="S251" s="168" t="s">
        <v>837</v>
      </c>
      <c r="T251" s="375">
        <f>T252</f>
        <v>5.75</v>
      </c>
      <c r="U251" s="376" t="s">
        <v>2924</v>
      </c>
      <c r="V251" s="171" t="s">
        <v>546</v>
      </c>
      <c r="W251" s="174"/>
      <c r="X251" s="171"/>
      <c r="Y251" s="174"/>
      <c r="Z251" s="171">
        <v>4</v>
      </c>
      <c r="AA251" s="174"/>
      <c r="AB251" s="173" t="s">
        <v>834</v>
      </c>
      <c r="AC251" s="174"/>
      <c r="AD251" s="173" t="s">
        <v>834</v>
      </c>
      <c r="AE251" s="171"/>
      <c r="AF251" s="173" t="s">
        <v>834</v>
      </c>
      <c r="AG251" s="171"/>
      <c r="AH251" s="615" t="s">
        <v>834</v>
      </c>
      <c r="AI251" s="174"/>
      <c r="AJ251" s="616" t="s">
        <v>834</v>
      </c>
      <c r="AK251" s="174"/>
      <c r="AL251" s="173" t="s">
        <v>834</v>
      </c>
      <c r="AM251" s="174" t="s">
        <v>2925</v>
      </c>
      <c r="AN251" s="173" t="s">
        <v>546</v>
      </c>
      <c r="AO251" s="171"/>
      <c r="AP251" s="171" t="s">
        <v>834</v>
      </c>
      <c r="AQ251" s="174"/>
      <c r="AR251" s="173"/>
      <c r="AS251" s="171"/>
      <c r="AT251" s="173"/>
      <c r="AU251" s="171"/>
      <c r="AV251" s="623"/>
      <c r="AW251" s="174"/>
      <c r="AX251" s="171" t="s">
        <v>834</v>
      </c>
      <c r="AY251" s="174"/>
      <c r="AZ251" s="544"/>
      <c r="BA251" s="174"/>
      <c r="BB251" s="173" t="s">
        <v>834</v>
      </c>
      <c r="BC251" s="174" t="s">
        <v>2926</v>
      </c>
      <c r="BD251" s="171" t="s">
        <v>546</v>
      </c>
      <c r="BE251" s="174" t="s">
        <v>546</v>
      </c>
      <c r="BF251" s="623" t="s">
        <v>995</v>
      </c>
      <c r="BG251" s="589" t="s">
        <v>2927</v>
      </c>
      <c r="BH251" s="171" t="s">
        <v>834</v>
      </c>
      <c r="BI251" s="174"/>
      <c r="BJ251" s="171"/>
      <c r="BK251" s="174"/>
      <c r="BL251" s="167" t="s">
        <v>834</v>
      </c>
      <c r="BM251" s="444" t="s">
        <v>2928</v>
      </c>
      <c r="BN251" s="173" t="s">
        <v>546</v>
      </c>
      <c r="BO251" s="171"/>
      <c r="BP251" s="365" t="s">
        <v>834</v>
      </c>
      <c r="BQ251" s="589"/>
      <c r="BR251" s="173"/>
      <c r="BS251" s="174"/>
      <c r="BT251" s="173"/>
      <c r="BU251" s="174"/>
      <c r="BV251" s="171">
        <f>BV253</f>
        <v>5.75</v>
      </c>
      <c r="BW251" s="444"/>
      <c r="BX251" s="437"/>
      <c r="BY251" s="171"/>
      <c r="BZ251" s="171"/>
      <c r="CA251" s="174"/>
      <c r="CB251" s="171"/>
      <c r="CC251" s="174"/>
      <c r="CD251" s="173"/>
      <c r="CE251" s="171"/>
      <c r="CF251" s="173" t="s">
        <v>834</v>
      </c>
      <c r="CG251" s="431" t="s">
        <v>2929</v>
      </c>
      <c r="CH251" s="171">
        <v>4.5</v>
      </c>
      <c r="CI251" s="174"/>
      <c r="CJ251" s="627"/>
      <c r="CK251" s="174"/>
      <c r="CL251" s="618">
        <v>6.25</v>
      </c>
      <c r="CM251" s="619" t="s">
        <v>2906</v>
      </c>
      <c r="CN251" s="544" t="s">
        <v>619</v>
      </c>
      <c r="CO251" s="174"/>
      <c r="CP251" s="173" t="s">
        <v>834</v>
      </c>
      <c r="CQ251" s="174"/>
      <c r="CR251" s="489" t="s">
        <v>834</v>
      </c>
      <c r="CS251" s="621" t="s">
        <v>2908</v>
      </c>
      <c r="CT251" s="447"/>
      <c r="CU251" s="444"/>
      <c r="CV251" s="167">
        <v>6</v>
      </c>
      <c r="CW251" s="444" t="s">
        <v>2909</v>
      </c>
      <c r="CX251" s="444" t="s">
        <v>834</v>
      </c>
      <c r="CY251" s="444" t="s">
        <v>2930</v>
      </c>
      <c r="CZ251" s="173" t="s">
        <v>834</v>
      </c>
      <c r="DA251" s="171"/>
      <c r="DB251" s="371"/>
      <c r="DC251" s="371">
        <f t="shared" ref="DC251:DC256" si="23">COUNT(D251:CZ251)</f>
        <v>8</v>
      </c>
      <c r="DD251" s="371"/>
      <c r="DE251" s="371"/>
      <c r="DF251" s="371"/>
      <c r="DG251" s="371"/>
      <c r="DH251" s="371"/>
      <c r="DI251" s="371"/>
      <c r="DJ251" s="371"/>
      <c r="DK251" s="371"/>
      <c r="DL251" s="371"/>
      <c r="DM251" s="371"/>
      <c r="DN251" s="371"/>
      <c r="DO251" s="371"/>
      <c r="DP251" s="371"/>
      <c r="DQ251" s="371"/>
      <c r="DR251" s="371"/>
    </row>
    <row r="252" spans="1:122" ht="18.75" x14ac:dyDescent="0.3">
      <c r="A252" s="371"/>
      <c r="B252" s="326">
        <v>194</v>
      </c>
      <c r="C252" s="327" t="s">
        <v>2931</v>
      </c>
      <c r="D252" s="173" t="s">
        <v>834</v>
      </c>
      <c r="E252" s="614" t="s">
        <v>2923</v>
      </c>
      <c r="F252" s="171" t="s">
        <v>546</v>
      </c>
      <c r="G252" s="171"/>
      <c r="H252" s="167" t="s">
        <v>834</v>
      </c>
      <c r="I252" s="175"/>
      <c r="J252" s="173"/>
      <c r="K252" s="371"/>
      <c r="L252" s="426" t="s">
        <v>834</v>
      </c>
      <c r="M252" s="174"/>
      <c r="N252" s="173"/>
      <c r="O252" s="171" t="s">
        <v>2082</v>
      </c>
      <c r="P252" s="373">
        <v>1</v>
      </c>
      <c r="Q252" s="174"/>
      <c r="R252" s="374">
        <v>0.39800000000000002</v>
      </c>
      <c r="S252" s="168" t="s">
        <v>837</v>
      </c>
      <c r="T252" s="375">
        <v>5.75</v>
      </c>
      <c r="U252" s="376"/>
      <c r="V252" s="171"/>
      <c r="W252" s="174" t="s">
        <v>2901</v>
      </c>
      <c r="X252" s="171" t="s">
        <v>546</v>
      </c>
      <c r="Y252" s="174"/>
      <c r="Z252" s="171">
        <v>4</v>
      </c>
      <c r="AA252" s="174"/>
      <c r="AB252" s="173" t="s">
        <v>834</v>
      </c>
      <c r="AC252" s="174"/>
      <c r="AD252" s="173" t="s">
        <v>834</v>
      </c>
      <c r="AE252" s="171"/>
      <c r="AF252" s="173" t="s">
        <v>834</v>
      </c>
      <c r="AG252" s="171"/>
      <c r="AH252" s="615" t="s">
        <v>834</v>
      </c>
      <c r="AI252" s="174"/>
      <c r="AJ252" s="616" t="s">
        <v>834</v>
      </c>
      <c r="AK252" s="174"/>
      <c r="AL252" s="173" t="s">
        <v>834</v>
      </c>
      <c r="AM252" s="174" t="s">
        <v>2932</v>
      </c>
      <c r="AN252" s="173" t="s">
        <v>546</v>
      </c>
      <c r="AO252" s="171"/>
      <c r="AP252" s="171" t="s">
        <v>834</v>
      </c>
      <c r="AQ252" s="174"/>
      <c r="AR252" s="173"/>
      <c r="AS252" s="171"/>
      <c r="AT252" s="173"/>
      <c r="AU252" s="171"/>
      <c r="AV252" s="623" t="s">
        <v>834</v>
      </c>
      <c r="AW252" s="174"/>
      <c r="AX252" s="171" t="s">
        <v>834</v>
      </c>
      <c r="AY252" s="174"/>
      <c r="AZ252" s="544" t="s">
        <v>834</v>
      </c>
      <c r="BA252" s="174"/>
      <c r="BB252" s="173" t="s">
        <v>834</v>
      </c>
      <c r="BC252" s="174" t="s">
        <v>2926</v>
      </c>
      <c r="BD252" s="171" t="s">
        <v>546</v>
      </c>
      <c r="BE252" s="174" t="s">
        <v>546</v>
      </c>
      <c r="BF252" s="558" t="s">
        <v>995</v>
      </c>
      <c r="BG252" s="589" t="s">
        <v>2927</v>
      </c>
      <c r="BH252" s="171" t="s">
        <v>834</v>
      </c>
      <c r="BI252" s="174"/>
      <c r="BJ252" s="171"/>
      <c r="BK252" s="174"/>
      <c r="BL252" s="167" t="s">
        <v>834</v>
      </c>
      <c r="BM252" s="444" t="s">
        <v>2928</v>
      </c>
      <c r="BN252" s="173" t="s">
        <v>546</v>
      </c>
      <c r="BO252" s="171"/>
      <c r="BP252" s="365" t="s">
        <v>834</v>
      </c>
      <c r="BQ252" s="589"/>
      <c r="BR252" s="173" t="s">
        <v>834</v>
      </c>
      <c r="BS252" s="174"/>
      <c r="BT252" s="173" t="s">
        <v>834</v>
      </c>
      <c r="BU252" s="628" t="s">
        <v>2913</v>
      </c>
      <c r="BV252" s="173" t="s">
        <v>834</v>
      </c>
      <c r="BW252" s="444"/>
      <c r="BX252" s="437"/>
      <c r="BY252" s="171"/>
      <c r="BZ252" s="171"/>
      <c r="CA252" s="174"/>
      <c r="CB252" s="171" t="s">
        <v>834</v>
      </c>
      <c r="CC252" s="174"/>
      <c r="CD252" s="173" t="s">
        <v>834</v>
      </c>
      <c r="CE252" s="171"/>
      <c r="CF252" s="173" t="s">
        <v>834</v>
      </c>
      <c r="CG252" s="174" t="s">
        <v>2933</v>
      </c>
      <c r="CH252" s="171">
        <v>4.5</v>
      </c>
      <c r="CI252" s="174"/>
      <c r="CJ252" s="167" t="s">
        <v>834</v>
      </c>
      <c r="CK252" s="174"/>
      <c r="CL252" s="624">
        <v>6.25</v>
      </c>
      <c r="CM252" s="589"/>
      <c r="CN252" s="544" t="s">
        <v>619</v>
      </c>
      <c r="CO252" s="174"/>
      <c r="CP252" s="173" t="s">
        <v>834</v>
      </c>
      <c r="CQ252" s="174"/>
      <c r="CR252" s="489" t="s">
        <v>834</v>
      </c>
      <c r="CS252" s="431"/>
      <c r="CT252" s="455">
        <v>1.5</v>
      </c>
      <c r="CU252" s="168" t="s">
        <v>840</v>
      </c>
      <c r="CV252" s="167">
        <v>6</v>
      </c>
      <c r="CW252" s="444" t="s">
        <v>2909</v>
      </c>
      <c r="CX252" s="444" t="s">
        <v>834</v>
      </c>
      <c r="CY252" s="444"/>
      <c r="CZ252" s="173" t="s">
        <v>834</v>
      </c>
      <c r="DA252" s="171"/>
      <c r="DB252" s="371"/>
      <c r="DC252" s="371">
        <f t="shared" si="23"/>
        <v>8</v>
      </c>
      <c r="DD252" s="371"/>
      <c r="DE252" s="371"/>
      <c r="DF252" s="371"/>
      <c r="DG252" s="371"/>
      <c r="DH252" s="371"/>
      <c r="DI252" s="371"/>
      <c r="DJ252" s="371"/>
      <c r="DK252" s="371"/>
      <c r="DL252" s="371"/>
      <c r="DM252" s="371"/>
      <c r="DN252" s="371"/>
      <c r="DO252" s="371"/>
      <c r="DP252" s="371"/>
      <c r="DQ252" s="371"/>
      <c r="DR252" s="371"/>
    </row>
    <row r="253" spans="1:122" ht="18.75" x14ac:dyDescent="0.3">
      <c r="A253" s="371"/>
      <c r="B253" s="326">
        <v>195</v>
      </c>
      <c r="C253" s="327" t="s">
        <v>2934</v>
      </c>
      <c r="D253" s="629" t="s">
        <v>834</v>
      </c>
      <c r="E253" s="614" t="s">
        <v>2935</v>
      </c>
      <c r="F253" s="171" t="s">
        <v>546</v>
      </c>
      <c r="G253" s="171"/>
      <c r="H253" s="167" t="s">
        <v>834</v>
      </c>
      <c r="I253" s="175"/>
      <c r="J253" s="173"/>
      <c r="K253" s="371"/>
      <c r="L253" s="426" t="s">
        <v>834</v>
      </c>
      <c r="M253" s="174"/>
      <c r="N253" s="173"/>
      <c r="O253" s="171" t="s">
        <v>2082</v>
      </c>
      <c r="P253" s="373">
        <v>1</v>
      </c>
      <c r="Q253" s="174"/>
      <c r="R253" s="374">
        <v>0.39800000000000002</v>
      </c>
      <c r="S253" s="168" t="s">
        <v>837</v>
      </c>
      <c r="T253" s="375">
        <v>5.75</v>
      </c>
      <c r="U253" s="376"/>
      <c r="V253" s="171"/>
      <c r="W253" s="174"/>
      <c r="X253" s="171"/>
      <c r="Y253" s="174"/>
      <c r="Z253" s="171">
        <v>4</v>
      </c>
      <c r="AA253" s="174"/>
      <c r="AB253" s="173" t="s">
        <v>834</v>
      </c>
      <c r="AC253" s="174"/>
      <c r="AD253" s="173" t="s">
        <v>834</v>
      </c>
      <c r="AE253" s="171"/>
      <c r="AF253" s="173" t="s">
        <v>834</v>
      </c>
      <c r="AG253" s="171"/>
      <c r="AH253" s="615" t="s">
        <v>834</v>
      </c>
      <c r="AI253" s="174"/>
      <c r="AJ253" s="616" t="s">
        <v>834</v>
      </c>
      <c r="AK253" s="174"/>
      <c r="AL253" s="173" t="s">
        <v>834</v>
      </c>
      <c r="AM253" s="174" t="s">
        <v>2936</v>
      </c>
      <c r="AN253" s="173" t="s">
        <v>546</v>
      </c>
      <c r="AO253" s="171"/>
      <c r="AP253" s="171" t="s">
        <v>834</v>
      </c>
      <c r="AQ253" s="174"/>
      <c r="AR253" s="173"/>
      <c r="AS253" s="171"/>
      <c r="AT253" s="173"/>
      <c r="AU253" s="171"/>
      <c r="AV253" s="623" t="s">
        <v>834</v>
      </c>
      <c r="AW253" s="174"/>
      <c r="AX253" s="171" t="s">
        <v>834</v>
      </c>
      <c r="AY253" s="174"/>
      <c r="AZ253" s="544" t="s">
        <v>834</v>
      </c>
      <c r="BA253" s="174"/>
      <c r="BB253" s="173" t="s">
        <v>834</v>
      </c>
      <c r="BC253" s="174" t="s">
        <v>2926</v>
      </c>
      <c r="BD253" s="171" t="s">
        <v>546</v>
      </c>
      <c r="BE253" s="174" t="s">
        <v>546</v>
      </c>
      <c r="BF253" s="558" t="s">
        <v>995</v>
      </c>
      <c r="BG253" s="589" t="s">
        <v>2927</v>
      </c>
      <c r="BH253" s="171" t="s">
        <v>834</v>
      </c>
      <c r="BI253" s="174"/>
      <c r="BJ253" s="171"/>
      <c r="BK253" s="174"/>
      <c r="BL253" s="167" t="s">
        <v>834</v>
      </c>
      <c r="BM253" s="444" t="s">
        <v>2928</v>
      </c>
      <c r="BN253" s="173" t="s">
        <v>546</v>
      </c>
      <c r="BO253" s="171"/>
      <c r="BP253" s="365" t="s">
        <v>834</v>
      </c>
      <c r="BQ253" s="589"/>
      <c r="BR253" s="173" t="s">
        <v>834</v>
      </c>
      <c r="BS253" s="174"/>
      <c r="BT253" s="173" t="s">
        <v>834</v>
      </c>
      <c r="BU253" s="628"/>
      <c r="BV253" s="173">
        <v>5.75</v>
      </c>
      <c r="BW253" s="444" t="s">
        <v>2918</v>
      </c>
      <c r="BX253" s="437" t="s">
        <v>546</v>
      </c>
      <c r="BY253" s="171"/>
      <c r="BZ253" s="171"/>
      <c r="CA253" s="174"/>
      <c r="CB253" s="171" t="s">
        <v>834</v>
      </c>
      <c r="CC253" s="174"/>
      <c r="CD253" s="173" t="s">
        <v>834</v>
      </c>
      <c r="CE253" s="171"/>
      <c r="CF253" s="173" t="s">
        <v>834</v>
      </c>
      <c r="CG253" s="174" t="s">
        <v>2933</v>
      </c>
      <c r="CH253" s="171">
        <v>4.5</v>
      </c>
      <c r="CI253" s="174"/>
      <c r="CJ253" s="167" t="s">
        <v>834</v>
      </c>
      <c r="CK253" s="174"/>
      <c r="CL253" s="624">
        <v>6.25</v>
      </c>
      <c r="CM253" s="589"/>
      <c r="CN253" s="544" t="s">
        <v>619</v>
      </c>
      <c r="CO253" s="174"/>
      <c r="CP253" s="173" t="s">
        <v>834</v>
      </c>
      <c r="CQ253" s="174"/>
      <c r="CR253" s="489" t="s">
        <v>834</v>
      </c>
      <c r="CS253" s="431"/>
      <c r="CT253" s="455">
        <v>1.5</v>
      </c>
      <c r="CU253" s="168" t="s">
        <v>840</v>
      </c>
      <c r="CV253" s="167">
        <v>6</v>
      </c>
      <c r="CW253" s="444" t="s">
        <v>2909</v>
      </c>
      <c r="CX253" s="444" t="s">
        <v>834</v>
      </c>
      <c r="CY253" s="444"/>
      <c r="CZ253" s="173" t="s">
        <v>834</v>
      </c>
      <c r="DA253" s="171"/>
      <c r="DB253" s="371"/>
      <c r="DC253" s="371">
        <f t="shared" si="23"/>
        <v>9</v>
      </c>
      <c r="DD253" s="371"/>
      <c r="DE253" s="371"/>
      <c r="DF253" s="371"/>
      <c r="DG253" s="371"/>
      <c r="DH253" s="371"/>
      <c r="DI253" s="371"/>
      <c r="DJ253" s="371"/>
      <c r="DK253" s="371"/>
      <c r="DL253" s="371"/>
      <c r="DM253" s="371"/>
      <c r="DN253" s="371"/>
      <c r="DO253" s="371"/>
      <c r="DP253" s="371"/>
      <c r="DQ253" s="371"/>
      <c r="DR253" s="371"/>
    </row>
    <row r="254" spans="1:122" ht="18.75" x14ac:dyDescent="0.3">
      <c r="A254" s="371"/>
      <c r="B254" s="326">
        <v>196</v>
      </c>
      <c r="C254" s="327" t="s">
        <v>2937</v>
      </c>
      <c r="D254" s="616" t="s">
        <v>834</v>
      </c>
      <c r="E254" s="268"/>
      <c r="F254" s="171"/>
      <c r="G254" s="171"/>
      <c r="H254" s="167" t="s">
        <v>834</v>
      </c>
      <c r="I254" s="175"/>
      <c r="J254" s="173"/>
      <c r="K254" s="371"/>
      <c r="L254" s="426" t="s">
        <v>834</v>
      </c>
      <c r="M254" s="174"/>
      <c r="N254" s="173"/>
      <c r="O254" s="171" t="s">
        <v>2082</v>
      </c>
      <c r="P254" s="373">
        <v>1</v>
      </c>
      <c r="Q254" s="174"/>
      <c r="R254" s="374">
        <v>0.39800000000000002</v>
      </c>
      <c r="S254" s="168" t="s">
        <v>837</v>
      </c>
      <c r="T254" s="375">
        <v>5.75</v>
      </c>
      <c r="U254" s="376" t="s">
        <v>2924</v>
      </c>
      <c r="V254" s="171" t="s">
        <v>546</v>
      </c>
      <c r="W254" s="174"/>
      <c r="X254" s="171"/>
      <c r="Y254" s="174"/>
      <c r="Z254" s="171">
        <v>4</v>
      </c>
      <c r="AA254" s="174"/>
      <c r="AB254" s="173" t="s">
        <v>834</v>
      </c>
      <c r="AC254" s="174"/>
      <c r="AD254" s="173" t="s">
        <v>834</v>
      </c>
      <c r="AE254" s="171"/>
      <c r="AF254" s="173" t="s">
        <v>834</v>
      </c>
      <c r="AG254" s="171"/>
      <c r="AH254" s="615" t="s">
        <v>834</v>
      </c>
      <c r="AI254" s="174"/>
      <c r="AJ254" s="616" t="s">
        <v>834</v>
      </c>
      <c r="AK254" s="174"/>
      <c r="AL254" s="173" t="s">
        <v>834</v>
      </c>
      <c r="AM254" s="174" t="s">
        <v>2936</v>
      </c>
      <c r="AN254" s="173" t="s">
        <v>546</v>
      </c>
      <c r="AO254" s="171"/>
      <c r="AP254" s="171" t="s">
        <v>834</v>
      </c>
      <c r="AQ254" s="174"/>
      <c r="AR254" s="173"/>
      <c r="AS254" s="171"/>
      <c r="AT254" s="173"/>
      <c r="AU254" s="171"/>
      <c r="AV254" s="623" t="s">
        <v>834</v>
      </c>
      <c r="AW254" s="174"/>
      <c r="AX254" s="171" t="s">
        <v>834</v>
      </c>
      <c r="AY254" s="174"/>
      <c r="AZ254" s="544" t="s">
        <v>834</v>
      </c>
      <c r="BA254" s="174"/>
      <c r="BB254" s="173" t="s">
        <v>834</v>
      </c>
      <c r="BC254" s="174" t="s">
        <v>2926</v>
      </c>
      <c r="BD254" s="171" t="s">
        <v>546</v>
      </c>
      <c r="BE254" s="174" t="s">
        <v>546</v>
      </c>
      <c r="BF254" s="558" t="s">
        <v>995</v>
      </c>
      <c r="BG254" s="589" t="s">
        <v>2927</v>
      </c>
      <c r="BH254" s="171" t="s">
        <v>834</v>
      </c>
      <c r="BI254" s="174"/>
      <c r="BJ254" s="171"/>
      <c r="BK254" s="174"/>
      <c r="BL254" s="167" t="s">
        <v>834</v>
      </c>
      <c r="BM254" s="444" t="s">
        <v>2928</v>
      </c>
      <c r="BN254" s="173" t="s">
        <v>546</v>
      </c>
      <c r="BO254" s="171"/>
      <c r="BP254" s="365" t="s">
        <v>834</v>
      </c>
      <c r="BQ254" s="589"/>
      <c r="BR254" s="173" t="s">
        <v>834</v>
      </c>
      <c r="BS254" s="174"/>
      <c r="BT254" s="173" t="s">
        <v>834</v>
      </c>
      <c r="BU254" s="628"/>
      <c r="BV254" s="173" t="s">
        <v>2938</v>
      </c>
      <c r="BW254" s="444" t="s">
        <v>2939</v>
      </c>
      <c r="BX254" s="437" t="s">
        <v>546</v>
      </c>
      <c r="BY254" s="171"/>
      <c r="BZ254" s="171"/>
      <c r="CA254" s="174"/>
      <c r="CB254" s="171" t="s">
        <v>834</v>
      </c>
      <c r="CC254" s="174"/>
      <c r="CD254" s="173" t="s">
        <v>834</v>
      </c>
      <c r="CE254" s="171"/>
      <c r="CF254" s="173" t="s">
        <v>834</v>
      </c>
      <c r="CG254" s="174" t="s">
        <v>2933</v>
      </c>
      <c r="CH254" s="171">
        <v>4.5</v>
      </c>
      <c r="CI254" s="174"/>
      <c r="CJ254" s="167" t="s">
        <v>834</v>
      </c>
      <c r="CK254" s="174"/>
      <c r="CL254" s="624">
        <v>6.25</v>
      </c>
      <c r="CM254" s="589"/>
      <c r="CN254" s="544" t="s">
        <v>619</v>
      </c>
      <c r="CO254" s="174"/>
      <c r="CP254" s="173" t="s">
        <v>834</v>
      </c>
      <c r="CQ254" s="174"/>
      <c r="CR254" s="489" t="s">
        <v>834</v>
      </c>
      <c r="CS254" s="431"/>
      <c r="CT254" s="455">
        <v>6.5</v>
      </c>
      <c r="CU254" s="168" t="s">
        <v>938</v>
      </c>
      <c r="CV254" s="167">
        <v>6</v>
      </c>
      <c r="CW254" s="444" t="s">
        <v>2909</v>
      </c>
      <c r="CX254" s="444" t="s">
        <v>834</v>
      </c>
      <c r="CY254" s="444"/>
      <c r="CZ254" s="173" t="s">
        <v>834</v>
      </c>
      <c r="DA254" s="171"/>
      <c r="DB254" s="371"/>
      <c r="DC254" s="371">
        <f t="shared" si="23"/>
        <v>8</v>
      </c>
      <c r="DD254" s="371"/>
      <c r="DE254" s="371"/>
      <c r="DF254" s="371"/>
      <c r="DG254" s="371"/>
      <c r="DH254" s="371"/>
      <c r="DI254" s="371"/>
      <c r="DJ254" s="371"/>
      <c r="DK254" s="371"/>
      <c r="DL254" s="371"/>
      <c r="DM254" s="371"/>
      <c r="DN254" s="371"/>
      <c r="DO254" s="371"/>
      <c r="DP254" s="371"/>
      <c r="DQ254" s="371"/>
      <c r="DR254" s="371"/>
    </row>
    <row r="255" spans="1:122" ht="18.75" x14ac:dyDescent="0.3">
      <c r="A255" s="371"/>
      <c r="B255" s="326">
        <v>197</v>
      </c>
      <c r="C255" s="327" t="s">
        <v>2940</v>
      </c>
      <c r="D255" s="616" t="s">
        <v>834</v>
      </c>
      <c r="E255" s="630" t="s">
        <v>2941</v>
      </c>
      <c r="F255" s="171" t="s">
        <v>546</v>
      </c>
      <c r="G255" s="171"/>
      <c r="H255" s="167" t="s">
        <v>834</v>
      </c>
      <c r="I255" s="175"/>
      <c r="J255" s="173"/>
      <c r="K255" s="371"/>
      <c r="L255" s="426" t="s">
        <v>834</v>
      </c>
      <c r="M255" s="174"/>
      <c r="N255" s="173"/>
      <c r="O255" s="171" t="s">
        <v>2082</v>
      </c>
      <c r="P255" s="373">
        <v>1</v>
      </c>
      <c r="Q255" s="174"/>
      <c r="R255" s="374">
        <v>0.39800000000000002</v>
      </c>
      <c r="S255" s="168" t="s">
        <v>837</v>
      </c>
      <c r="T255" s="375">
        <v>5.75</v>
      </c>
      <c r="U255" s="376" t="s">
        <v>2924</v>
      </c>
      <c r="V255" s="171" t="s">
        <v>546</v>
      </c>
      <c r="W255" s="174"/>
      <c r="X255" s="171"/>
      <c r="Y255" s="174"/>
      <c r="Z255" s="171">
        <v>4</v>
      </c>
      <c r="AA255" s="174"/>
      <c r="AB255" s="173" t="s">
        <v>834</v>
      </c>
      <c r="AC255" s="174"/>
      <c r="AD255" s="173" t="s">
        <v>834</v>
      </c>
      <c r="AE255" s="171"/>
      <c r="AF255" s="173" t="s">
        <v>834</v>
      </c>
      <c r="AG255" s="171"/>
      <c r="AH255" s="615" t="s">
        <v>834</v>
      </c>
      <c r="AI255" s="174"/>
      <c r="AJ255" s="616" t="s">
        <v>834</v>
      </c>
      <c r="AK255" s="174"/>
      <c r="AL255" s="173" t="s">
        <v>834</v>
      </c>
      <c r="AM255" s="174" t="s">
        <v>2936</v>
      </c>
      <c r="AN255" s="173" t="s">
        <v>546</v>
      </c>
      <c r="AO255" s="171"/>
      <c r="AP255" s="171" t="s">
        <v>834</v>
      </c>
      <c r="AQ255" s="174"/>
      <c r="AR255" s="173"/>
      <c r="AS255" s="171"/>
      <c r="AT255" s="173"/>
      <c r="AU255" s="171"/>
      <c r="AV255" s="623" t="s">
        <v>834</v>
      </c>
      <c r="AW255" s="174"/>
      <c r="AX255" s="171" t="s">
        <v>834</v>
      </c>
      <c r="AY255" s="174"/>
      <c r="AZ255" s="544" t="s">
        <v>834</v>
      </c>
      <c r="BA255" s="174"/>
      <c r="BB255" s="173" t="s">
        <v>834</v>
      </c>
      <c r="BC255" s="174" t="s">
        <v>2926</v>
      </c>
      <c r="BD255" s="171" t="s">
        <v>546</v>
      </c>
      <c r="BE255" s="174" t="s">
        <v>546</v>
      </c>
      <c r="BF255" s="558" t="s">
        <v>834</v>
      </c>
      <c r="BG255" s="174"/>
      <c r="BH255" s="171" t="s">
        <v>834</v>
      </c>
      <c r="BI255" s="174"/>
      <c r="BJ255" s="171"/>
      <c r="BK255" s="174"/>
      <c r="BL255" s="167" t="s">
        <v>834</v>
      </c>
      <c r="BM255" s="444" t="s">
        <v>2928</v>
      </c>
      <c r="BN255" s="173" t="s">
        <v>546</v>
      </c>
      <c r="BO255" s="171"/>
      <c r="BP255" s="365" t="s">
        <v>834</v>
      </c>
      <c r="BQ255" s="589"/>
      <c r="BR255" s="173" t="s">
        <v>834</v>
      </c>
      <c r="BS255" s="174"/>
      <c r="BT255" s="173" t="s">
        <v>834</v>
      </c>
      <c r="BU255" s="628"/>
      <c r="BV255" s="173" t="s">
        <v>834</v>
      </c>
      <c r="BW255" s="444"/>
      <c r="BX255" s="437"/>
      <c r="BY255" s="171"/>
      <c r="BZ255" s="171"/>
      <c r="CA255" s="174"/>
      <c r="CB255" s="171">
        <v>6</v>
      </c>
      <c r="CC255" s="174"/>
      <c r="CD255" s="173" t="s">
        <v>834</v>
      </c>
      <c r="CE255" s="171"/>
      <c r="CF255" s="173" t="s">
        <v>834</v>
      </c>
      <c r="CG255" s="174" t="s">
        <v>2933</v>
      </c>
      <c r="CH255" s="171">
        <v>4.5</v>
      </c>
      <c r="CI255" s="174"/>
      <c r="CJ255" s="167" t="s">
        <v>834</v>
      </c>
      <c r="CK255" s="174"/>
      <c r="CL255" s="624">
        <v>6.25</v>
      </c>
      <c r="CM255" s="589"/>
      <c r="CN255" s="167" t="s">
        <v>619</v>
      </c>
      <c r="CO255" s="174"/>
      <c r="CP255" s="173" t="s">
        <v>834</v>
      </c>
      <c r="CQ255" s="174"/>
      <c r="CR255" s="489" t="s">
        <v>834</v>
      </c>
      <c r="CS255" s="431"/>
      <c r="CT255" s="455">
        <v>1.5</v>
      </c>
      <c r="CU255" s="168" t="s">
        <v>840</v>
      </c>
      <c r="CV255" s="167">
        <v>6</v>
      </c>
      <c r="CW255" s="444" t="s">
        <v>2909</v>
      </c>
      <c r="CX255" s="444" t="s">
        <v>834</v>
      </c>
      <c r="CY255" s="444"/>
      <c r="CZ255" s="173" t="s">
        <v>834</v>
      </c>
      <c r="DA255" s="171"/>
      <c r="DB255" s="371"/>
      <c r="DC255" s="371">
        <f t="shared" si="23"/>
        <v>9</v>
      </c>
      <c r="DD255" s="371"/>
      <c r="DE255" s="371"/>
      <c r="DF255" s="371"/>
      <c r="DG255" s="371"/>
      <c r="DH255" s="371"/>
      <c r="DI255" s="371"/>
      <c r="DJ255" s="371"/>
      <c r="DK255" s="371"/>
      <c r="DL255" s="371"/>
      <c r="DM255" s="371"/>
      <c r="DN255" s="371"/>
      <c r="DO255" s="371"/>
      <c r="DP255" s="371"/>
      <c r="DQ255" s="371"/>
      <c r="DR255" s="371"/>
    </row>
    <row r="256" spans="1:122" ht="18.75" x14ac:dyDescent="0.3">
      <c r="A256" s="371"/>
      <c r="B256" s="326">
        <v>198</v>
      </c>
      <c r="C256" s="631" t="s">
        <v>2942</v>
      </c>
      <c r="D256" s="171"/>
      <c r="E256" s="268"/>
      <c r="F256" s="171"/>
      <c r="G256" s="171"/>
      <c r="H256" s="167" t="s">
        <v>834</v>
      </c>
      <c r="I256" s="175"/>
      <c r="J256" s="173"/>
      <c r="K256" s="371"/>
      <c r="L256" s="426" t="s">
        <v>834</v>
      </c>
      <c r="M256" s="174"/>
      <c r="N256" s="173"/>
      <c r="O256" s="171" t="s">
        <v>2082</v>
      </c>
      <c r="P256" s="373">
        <v>1</v>
      </c>
      <c r="Q256" s="174"/>
      <c r="R256" s="374">
        <v>0.39800000000000002</v>
      </c>
      <c r="S256" s="168" t="s">
        <v>837</v>
      </c>
      <c r="T256" s="375">
        <v>5.75</v>
      </c>
      <c r="U256" s="376" t="s">
        <v>2924</v>
      </c>
      <c r="V256" s="171" t="s">
        <v>546</v>
      </c>
      <c r="W256" s="174"/>
      <c r="X256" s="171"/>
      <c r="Y256" s="174"/>
      <c r="Z256" s="171">
        <v>4</v>
      </c>
      <c r="AA256" s="174"/>
      <c r="AB256" s="173" t="s">
        <v>834</v>
      </c>
      <c r="AC256" s="174"/>
      <c r="AD256" s="173" t="s">
        <v>834</v>
      </c>
      <c r="AE256" s="171"/>
      <c r="AF256" s="173" t="s">
        <v>834</v>
      </c>
      <c r="AG256" s="171"/>
      <c r="AH256" s="615" t="s">
        <v>834</v>
      </c>
      <c r="AI256" s="174"/>
      <c r="AJ256" s="616" t="s">
        <v>834</v>
      </c>
      <c r="AK256" s="174"/>
      <c r="AL256" s="173" t="s">
        <v>834</v>
      </c>
      <c r="AM256" s="174" t="s">
        <v>2936</v>
      </c>
      <c r="AN256" s="173" t="s">
        <v>546</v>
      </c>
      <c r="AO256" s="171"/>
      <c r="AP256" s="171" t="s">
        <v>834</v>
      </c>
      <c r="AQ256" s="174"/>
      <c r="AR256" s="173"/>
      <c r="AS256" s="171"/>
      <c r="AT256" s="173"/>
      <c r="AU256" s="171"/>
      <c r="AV256" s="623" t="s">
        <v>834</v>
      </c>
      <c r="AW256" s="174"/>
      <c r="AX256" s="171" t="s">
        <v>834</v>
      </c>
      <c r="AY256" s="174"/>
      <c r="AZ256" s="544" t="s">
        <v>834</v>
      </c>
      <c r="BA256" s="174"/>
      <c r="BB256" s="173" t="s">
        <v>834</v>
      </c>
      <c r="BC256" s="174" t="s">
        <v>2926</v>
      </c>
      <c r="BD256" s="171" t="s">
        <v>546</v>
      </c>
      <c r="BE256" s="174" t="s">
        <v>546</v>
      </c>
      <c r="BF256" s="558" t="s">
        <v>834</v>
      </c>
      <c r="BG256" s="174"/>
      <c r="BH256" s="171" t="s">
        <v>834</v>
      </c>
      <c r="BI256" s="174"/>
      <c r="BJ256" s="171"/>
      <c r="BK256" s="174"/>
      <c r="BL256" s="167" t="s">
        <v>834</v>
      </c>
      <c r="BM256" s="444" t="s">
        <v>2928</v>
      </c>
      <c r="BN256" s="173" t="s">
        <v>546</v>
      </c>
      <c r="BO256" s="171"/>
      <c r="BP256" s="365" t="s">
        <v>834</v>
      </c>
      <c r="BQ256" s="589"/>
      <c r="BR256" s="173" t="s">
        <v>834</v>
      </c>
      <c r="BS256" s="174"/>
      <c r="BT256" s="173" t="s">
        <v>834</v>
      </c>
      <c r="BU256" s="628"/>
      <c r="BV256" s="173"/>
      <c r="BW256" s="444" t="s">
        <v>2943</v>
      </c>
      <c r="BX256" s="437" t="s">
        <v>546</v>
      </c>
      <c r="BY256" s="171"/>
      <c r="BZ256" s="171"/>
      <c r="CA256" s="174"/>
      <c r="CB256" s="171">
        <v>6</v>
      </c>
      <c r="CC256" s="174"/>
      <c r="CD256" s="173" t="s">
        <v>834</v>
      </c>
      <c r="CE256" s="171"/>
      <c r="CF256" s="173" t="s">
        <v>834</v>
      </c>
      <c r="CG256" s="174" t="s">
        <v>2933</v>
      </c>
      <c r="CH256" s="171">
        <v>4.5</v>
      </c>
      <c r="CI256" s="174"/>
      <c r="CJ256" s="167" t="s">
        <v>834</v>
      </c>
      <c r="CK256" s="174"/>
      <c r="CL256" s="624">
        <v>6.25</v>
      </c>
      <c r="CM256" s="589"/>
      <c r="CN256" s="167" t="s">
        <v>619</v>
      </c>
      <c r="CO256" s="174"/>
      <c r="CP256" s="173" t="s">
        <v>834</v>
      </c>
      <c r="CQ256" s="174"/>
      <c r="CR256" s="489" t="s">
        <v>834</v>
      </c>
      <c r="CS256" s="431"/>
      <c r="CT256" s="455">
        <v>6.5</v>
      </c>
      <c r="CU256" s="168" t="s">
        <v>938</v>
      </c>
      <c r="CV256" s="167">
        <v>6</v>
      </c>
      <c r="CW256" s="444" t="s">
        <v>2909</v>
      </c>
      <c r="CX256" s="444" t="s">
        <v>834</v>
      </c>
      <c r="CY256" s="444"/>
      <c r="CZ256" s="173" t="s">
        <v>834</v>
      </c>
      <c r="DA256" s="171"/>
      <c r="DB256" s="371"/>
      <c r="DC256" s="371">
        <f t="shared" si="23"/>
        <v>9</v>
      </c>
      <c r="DD256" s="371"/>
      <c r="DE256" s="371"/>
      <c r="DF256" s="371"/>
      <c r="DG256" s="371"/>
      <c r="DH256" s="371"/>
      <c r="DI256" s="371"/>
      <c r="DJ256" s="371"/>
      <c r="DK256" s="371"/>
      <c r="DL256" s="371"/>
      <c r="DM256" s="371"/>
      <c r="DN256" s="371"/>
      <c r="DO256" s="371"/>
      <c r="DP256" s="371"/>
      <c r="DQ256" s="371"/>
      <c r="DR256" s="371"/>
    </row>
    <row r="257" spans="1:122" ht="18.75" x14ac:dyDescent="0.3">
      <c r="A257" s="371"/>
      <c r="B257" s="326"/>
      <c r="C257" s="631"/>
      <c r="D257" s="171"/>
      <c r="E257" s="268"/>
      <c r="F257" s="171"/>
      <c r="G257" s="171"/>
      <c r="H257" s="175"/>
      <c r="I257" s="175"/>
      <c r="J257" s="173"/>
      <c r="K257" s="371"/>
      <c r="L257" s="606"/>
      <c r="M257" s="174"/>
      <c r="N257" s="173"/>
      <c r="O257" s="171"/>
      <c r="P257" s="171"/>
      <c r="Q257" s="174"/>
      <c r="R257" s="607"/>
      <c r="S257" s="174"/>
      <c r="T257" s="622"/>
      <c r="U257" s="376" t="s">
        <v>2924</v>
      </c>
      <c r="V257" s="171" t="s">
        <v>546</v>
      </c>
      <c r="W257" s="174"/>
      <c r="X257" s="171"/>
      <c r="Y257" s="174"/>
      <c r="Z257" s="171"/>
      <c r="AA257" s="174"/>
      <c r="AB257" s="171"/>
      <c r="AC257" s="174"/>
      <c r="AD257" s="171"/>
      <c r="AE257" s="171"/>
      <c r="AF257" s="173"/>
      <c r="AG257" s="171"/>
      <c r="AH257" s="171"/>
      <c r="AI257" s="174"/>
      <c r="AJ257" s="616"/>
      <c r="AK257" s="174"/>
      <c r="AL257" s="173"/>
      <c r="AM257" s="174"/>
      <c r="AN257" s="173"/>
      <c r="AO257" s="171"/>
      <c r="AP257" s="171"/>
      <c r="AQ257" s="174"/>
      <c r="AR257" s="173"/>
      <c r="AS257" s="171"/>
      <c r="AT257" s="173"/>
      <c r="AU257" s="171"/>
      <c r="AV257" s="608"/>
      <c r="AW257" s="174"/>
      <c r="AX257" s="171"/>
      <c r="AY257" s="174"/>
      <c r="AZ257" s="171"/>
      <c r="BA257" s="174"/>
      <c r="BB257" s="171"/>
      <c r="BC257" s="174"/>
      <c r="BD257" s="171"/>
      <c r="BE257" s="174" t="s">
        <v>546</v>
      </c>
      <c r="BF257" s="608"/>
      <c r="BG257" s="174"/>
      <c r="BH257" s="171"/>
      <c r="BI257" s="174"/>
      <c r="BJ257" s="171"/>
      <c r="BK257" s="174"/>
      <c r="BL257" s="171"/>
      <c r="BM257" s="444"/>
      <c r="BN257" s="173"/>
      <c r="BO257" s="171"/>
      <c r="BP257" s="447"/>
      <c r="BQ257" s="174"/>
      <c r="BR257" s="171"/>
      <c r="BS257" s="174"/>
      <c r="BT257" s="173"/>
      <c r="BU257" s="174"/>
      <c r="BV257" s="171"/>
      <c r="BW257" s="174"/>
      <c r="BX257" s="437"/>
      <c r="BY257" s="171"/>
      <c r="BZ257" s="171"/>
      <c r="CA257" s="174"/>
      <c r="CB257" s="171"/>
      <c r="CC257" s="174"/>
      <c r="CD257" s="173"/>
      <c r="CE257" s="171"/>
      <c r="CF257" s="171"/>
      <c r="CG257" s="174"/>
      <c r="CH257" s="171"/>
      <c r="CI257" s="174"/>
      <c r="CJ257" s="171"/>
      <c r="CK257" s="174"/>
      <c r="CL257" s="173"/>
      <c r="CM257" s="174"/>
      <c r="CN257" s="171"/>
      <c r="CO257" s="174"/>
      <c r="CP257" s="171"/>
      <c r="CQ257" s="174"/>
      <c r="CR257" s="431"/>
      <c r="CS257" s="431"/>
      <c r="CT257" s="447"/>
      <c r="CU257" s="444"/>
      <c r="CV257" s="171"/>
      <c r="CW257" s="174"/>
      <c r="CX257" s="174"/>
      <c r="CY257" s="174"/>
      <c r="CZ257" s="173"/>
      <c r="DA257" s="171"/>
      <c r="DB257" s="371"/>
      <c r="DC257" s="371"/>
      <c r="DD257" s="371"/>
      <c r="DE257" s="371"/>
      <c r="DF257" s="371"/>
      <c r="DG257" s="371"/>
      <c r="DH257" s="371"/>
      <c r="DI257" s="371"/>
      <c r="DJ257" s="371"/>
      <c r="DK257" s="371"/>
      <c r="DL257" s="371"/>
      <c r="DM257" s="371"/>
      <c r="DN257" s="371"/>
      <c r="DO257" s="371"/>
      <c r="DP257" s="371"/>
      <c r="DQ257" s="371"/>
      <c r="DR257" s="371"/>
    </row>
    <row r="258" spans="1:122" ht="18.75" x14ac:dyDescent="0.3">
      <c r="A258" s="371"/>
      <c r="B258" s="326"/>
      <c r="C258" s="631"/>
      <c r="D258" s="424"/>
      <c r="E258" s="440"/>
      <c r="F258" s="171"/>
      <c r="G258" s="171"/>
      <c r="H258" s="175"/>
      <c r="I258" s="175"/>
      <c r="J258" s="173"/>
      <c r="K258" s="371"/>
      <c r="L258" s="606"/>
      <c r="M258" s="174"/>
      <c r="N258" s="173"/>
      <c r="O258" s="171"/>
      <c r="P258" s="171"/>
      <c r="Q258" s="174"/>
      <c r="R258" s="607"/>
      <c r="S258" s="174"/>
      <c r="T258" s="622"/>
      <c r="U258" s="376" t="s">
        <v>2924</v>
      </c>
      <c r="V258" s="171" t="s">
        <v>546</v>
      </c>
      <c r="W258" s="174"/>
      <c r="X258" s="171"/>
      <c r="Y258" s="174"/>
      <c r="Z258" s="171"/>
      <c r="AA258" s="174"/>
      <c r="AB258" s="171"/>
      <c r="AC258" s="174"/>
      <c r="AD258" s="171"/>
      <c r="AE258" s="171"/>
      <c r="AF258" s="173"/>
      <c r="AG258" s="171"/>
      <c r="AH258" s="171"/>
      <c r="AI258" s="174"/>
      <c r="AJ258" s="616"/>
      <c r="AK258" s="174"/>
      <c r="AL258" s="173"/>
      <c r="AM258" s="174"/>
      <c r="AN258" s="173"/>
      <c r="AO258" s="171"/>
      <c r="AP258" s="171"/>
      <c r="AQ258" s="174"/>
      <c r="AR258" s="173"/>
      <c r="AS258" s="171"/>
      <c r="AT258" s="173"/>
      <c r="AU258" s="171"/>
      <c r="AV258" s="608"/>
      <c r="AW258" s="174"/>
      <c r="AX258" s="171"/>
      <c r="AY258" s="174"/>
      <c r="AZ258" s="171"/>
      <c r="BA258" s="174"/>
      <c r="BB258" s="171"/>
      <c r="BC258" s="174"/>
      <c r="BD258" s="171"/>
      <c r="BE258" s="174"/>
      <c r="BF258" s="608"/>
      <c r="BG258" s="174"/>
      <c r="BH258" s="171"/>
      <c r="BI258" s="174"/>
      <c r="BJ258" s="171"/>
      <c r="BK258" s="174"/>
      <c r="BL258" s="171"/>
      <c r="BM258" s="444"/>
      <c r="BN258" s="173"/>
      <c r="BO258" s="171"/>
      <c r="BP258" s="171"/>
      <c r="BQ258" s="174"/>
      <c r="BR258" s="171"/>
      <c r="BS258" s="174"/>
      <c r="BT258" s="171"/>
      <c r="BU258" s="174"/>
      <c r="BV258" s="171"/>
      <c r="BW258" s="174"/>
      <c r="BX258" s="437"/>
      <c r="BY258" s="171"/>
      <c r="BZ258" s="171"/>
      <c r="CA258" s="174"/>
      <c r="CB258" s="171"/>
      <c r="CC258" s="174"/>
      <c r="CD258" s="173"/>
      <c r="CE258" s="171"/>
      <c r="CF258" s="171"/>
      <c r="CG258" s="174"/>
      <c r="CH258" s="171"/>
      <c r="CI258" s="174"/>
      <c r="CJ258" s="171"/>
      <c r="CK258" s="174"/>
      <c r="CL258" s="173"/>
      <c r="CM258" s="174"/>
      <c r="CN258" s="171"/>
      <c r="CO258" s="174"/>
      <c r="CP258" s="171"/>
      <c r="CQ258" s="174"/>
      <c r="CR258" s="431"/>
      <c r="CS258" s="431"/>
      <c r="CT258" s="447"/>
      <c r="CU258" s="444"/>
      <c r="CV258" s="171"/>
      <c r="CW258" s="174"/>
      <c r="CX258" s="174"/>
      <c r="CY258" s="174"/>
      <c r="CZ258" s="173"/>
      <c r="DA258" s="171"/>
      <c r="DB258" s="371"/>
      <c r="DC258" s="371"/>
      <c r="DD258" s="371"/>
      <c r="DE258" s="371"/>
      <c r="DF258" s="371"/>
      <c r="DG258" s="371"/>
      <c r="DH258" s="371"/>
      <c r="DI258" s="371"/>
      <c r="DJ258" s="371"/>
      <c r="DK258" s="371"/>
      <c r="DL258" s="371"/>
      <c r="DM258" s="371"/>
      <c r="DN258" s="371"/>
      <c r="DO258" s="371"/>
      <c r="DP258" s="371"/>
      <c r="DQ258" s="371"/>
      <c r="DR258" s="371"/>
    </row>
    <row r="259" spans="1:122" ht="18.75" x14ac:dyDescent="0.3">
      <c r="A259" s="389"/>
      <c r="B259" s="390"/>
      <c r="C259" s="391" t="s">
        <v>2944</v>
      </c>
      <c r="D259" s="172"/>
      <c r="E259" s="448"/>
      <c r="F259" s="394"/>
      <c r="G259" s="394"/>
      <c r="H259" s="421"/>
      <c r="I259" s="401"/>
      <c r="J259" s="394"/>
      <c r="K259" s="397"/>
      <c r="L259" s="438"/>
      <c r="M259" s="401"/>
      <c r="N259" s="394"/>
      <c r="O259" s="172"/>
      <c r="P259" s="407"/>
      <c r="Q259" s="401"/>
      <c r="R259" s="402"/>
      <c r="S259" s="407"/>
      <c r="T259" s="601" t="s">
        <v>2945</v>
      </c>
      <c r="U259" s="404" t="s">
        <v>2946</v>
      </c>
      <c r="V259" s="405"/>
      <c r="W259" s="406"/>
      <c r="X259" s="407"/>
      <c r="Y259" s="407"/>
      <c r="Z259" s="407"/>
      <c r="AA259" s="170"/>
      <c r="AB259" s="407"/>
      <c r="AC259" s="170"/>
      <c r="AD259" s="408" t="s">
        <v>546</v>
      </c>
      <c r="AE259" s="170"/>
      <c r="AF259" s="394"/>
      <c r="AG259" s="172"/>
      <c r="AH259" s="407"/>
      <c r="AI259" s="407"/>
      <c r="AJ259" s="421"/>
      <c r="AK259" s="409"/>
      <c r="AL259" s="394"/>
      <c r="AM259" s="170"/>
      <c r="AN259" s="394"/>
      <c r="AO259" s="172"/>
      <c r="AP259" s="416"/>
      <c r="AQ259" s="170"/>
      <c r="AR259" s="394"/>
      <c r="AS259" s="172"/>
      <c r="AT259" s="394"/>
      <c r="AU259" s="172"/>
      <c r="AV259" s="411"/>
      <c r="AW259" s="170"/>
      <c r="AX259" s="412"/>
      <c r="AY259" s="401"/>
      <c r="AZ259" s="407"/>
      <c r="BA259" s="401"/>
      <c r="BB259" s="163"/>
      <c r="BC259" s="170"/>
      <c r="BD259" s="632"/>
      <c r="BE259" s="401"/>
      <c r="BF259" s="415"/>
      <c r="BG259" s="170"/>
      <c r="BH259" s="416"/>
      <c r="BI259" s="401"/>
      <c r="BJ259" s="407"/>
      <c r="BK259" s="170"/>
      <c r="BL259" s="407"/>
      <c r="BM259" s="170"/>
      <c r="BN259" s="394"/>
      <c r="BO259" s="172"/>
      <c r="BP259" s="418"/>
      <c r="BQ259" s="419"/>
      <c r="BR259" s="407"/>
      <c r="BS259" s="170"/>
      <c r="BT259" s="407"/>
      <c r="BU259" s="170"/>
      <c r="BV259" s="407"/>
      <c r="BW259" s="170"/>
      <c r="BX259" s="420"/>
      <c r="BY259" s="172"/>
      <c r="BZ259" s="416"/>
      <c r="CA259" s="170"/>
      <c r="CB259" s="407"/>
      <c r="CC259" s="421"/>
      <c r="CD259" s="394"/>
      <c r="CE259" s="172"/>
      <c r="CF259" s="407"/>
      <c r="CG259" s="399"/>
      <c r="CH259" s="407"/>
      <c r="CI259" s="170"/>
      <c r="CJ259" s="407"/>
      <c r="CK259" s="170"/>
      <c r="CL259" s="400"/>
      <c r="CM259" s="170"/>
      <c r="CN259" s="407"/>
      <c r="CO259" s="170"/>
      <c r="CP259" s="407"/>
      <c r="CQ259" s="170"/>
      <c r="CR259" s="421"/>
      <c r="CS259" s="401"/>
      <c r="CT259" s="416"/>
      <c r="CU259" s="170"/>
      <c r="CV259" s="416"/>
      <c r="CW259" s="170"/>
      <c r="CX259" s="170"/>
      <c r="CY259" s="170"/>
      <c r="CZ259" s="394"/>
      <c r="DA259" s="172"/>
      <c r="DB259" s="397"/>
      <c r="DC259" s="397"/>
      <c r="DD259" s="397"/>
      <c r="DE259" s="397"/>
      <c r="DF259" s="397"/>
      <c r="DG259" s="397"/>
      <c r="DH259" s="397"/>
      <c r="DI259" s="397"/>
      <c r="DJ259" s="397"/>
      <c r="DK259" s="397"/>
      <c r="DL259" s="397"/>
      <c r="DM259" s="397"/>
      <c r="DN259" s="397"/>
      <c r="DO259" s="397"/>
      <c r="DP259" s="397"/>
      <c r="DQ259" s="397"/>
      <c r="DR259" s="397"/>
    </row>
    <row r="260" spans="1:122" ht="18.75" x14ac:dyDescent="0.3">
      <c r="A260" s="325"/>
      <c r="B260" s="326">
        <v>199</v>
      </c>
      <c r="C260" s="327" t="s">
        <v>2947</v>
      </c>
      <c r="D260" s="562" t="s">
        <v>619</v>
      </c>
      <c r="E260" s="571" t="s">
        <v>2948</v>
      </c>
      <c r="F260" s="173" t="s">
        <v>546</v>
      </c>
      <c r="G260" s="173"/>
      <c r="H260" s="373" t="s">
        <v>619</v>
      </c>
      <c r="I260" s="427" t="s">
        <v>2949</v>
      </c>
      <c r="J260" s="173" t="s">
        <v>619</v>
      </c>
      <c r="K260" s="371" t="s">
        <v>2950</v>
      </c>
      <c r="L260" s="603" t="s">
        <v>620</v>
      </c>
      <c r="M260" s="427" t="s">
        <v>2951</v>
      </c>
      <c r="N260" s="173" t="s">
        <v>620</v>
      </c>
      <c r="O260" s="171" t="s">
        <v>2952</v>
      </c>
      <c r="P260" s="167" t="s">
        <v>619</v>
      </c>
      <c r="Q260" s="427" t="s">
        <v>2953</v>
      </c>
      <c r="R260" s="374" t="s">
        <v>620</v>
      </c>
      <c r="S260" s="167"/>
      <c r="T260" s="375"/>
      <c r="U260" s="376"/>
      <c r="V260" s="633" t="s">
        <v>619</v>
      </c>
      <c r="W260" s="377" t="s">
        <v>2954</v>
      </c>
      <c r="X260" s="167" t="s">
        <v>619</v>
      </c>
      <c r="Y260" s="444" t="s">
        <v>2955</v>
      </c>
      <c r="Z260" s="373" t="s">
        <v>620</v>
      </c>
      <c r="AA260" s="168" t="s">
        <v>2956</v>
      </c>
      <c r="AB260" s="167" t="s">
        <v>619</v>
      </c>
      <c r="AC260" s="168" t="s">
        <v>2957</v>
      </c>
      <c r="AD260" s="430" t="s">
        <v>546</v>
      </c>
      <c r="AE260" s="168" t="s">
        <v>2958</v>
      </c>
      <c r="AF260" s="173" t="s">
        <v>619</v>
      </c>
      <c r="AG260" s="171" t="s">
        <v>2959</v>
      </c>
      <c r="AH260" s="167" t="s">
        <v>619</v>
      </c>
      <c r="AI260" s="444" t="s">
        <v>2960</v>
      </c>
      <c r="AJ260" s="373" t="s">
        <v>619</v>
      </c>
      <c r="AK260" s="431" t="s">
        <v>2961</v>
      </c>
      <c r="AL260" s="173" t="s">
        <v>619</v>
      </c>
      <c r="AM260" s="444" t="s">
        <v>2962</v>
      </c>
      <c r="AN260" s="173" t="s">
        <v>619</v>
      </c>
      <c r="AO260" s="171" t="s">
        <v>2963</v>
      </c>
      <c r="AP260" s="432" t="s">
        <v>620</v>
      </c>
      <c r="AQ260" s="634" t="s">
        <v>2964</v>
      </c>
      <c r="AR260" s="173" t="s">
        <v>619</v>
      </c>
      <c r="AS260" s="171" t="s">
        <v>2965</v>
      </c>
      <c r="AT260" s="173" t="s">
        <v>619</v>
      </c>
      <c r="AU260" s="171" t="s">
        <v>2966</v>
      </c>
      <c r="AV260" s="381" t="s">
        <v>620</v>
      </c>
      <c r="AW260" s="168" t="s">
        <v>2967</v>
      </c>
      <c r="AX260" s="433" t="s">
        <v>619</v>
      </c>
      <c r="AY260" s="427" t="s">
        <v>2968</v>
      </c>
      <c r="AZ260" s="167" t="s">
        <v>619</v>
      </c>
      <c r="BA260" s="427" t="s">
        <v>2969</v>
      </c>
      <c r="BB260" s="164" t="s">
        <v>620</v>
      </c>
      <c r="BC260" s="168" t="s">
        <v>2970</v>
      </c>
      <c r="BD260" s="432" t="s">
        <v>619</v>
      </c>
      <c r="BE260" s="427"/>
      <c r="BF260" s="384" t="s">
        <v>619</v>
      </c>
      <c r="BG260" s="168" t="s">
        <v>2971</v>
      </c>
      <c r="BH260" s="432" t="s">
        <v>620</v>
      </c>
      <c r="BI260" s="427" t="s">
        <v>2972</v>
      </c>
      <c r="BJ260" s="167" t="s">
        <v>619</v>
      </c>
      <c r="BK260" s="168" t="s">
        <v>2973</v>
      </c>
      <c r="BL260" s="167" t="s">
        <v>619</v>
      </c>
      <c r="BM260" s="168" t="s">
        <v>2974</v>
      </c>
      <c r="BN260" s="173" t="s">
        <v>619</v>
      </c>
      <c r="BO260" s="171" t="s">
        <v>2975</v>
      </c>
      <c r="BP260" s="435" t="s">
        <v>619</v>
      </c>
      <c r="BQ260" s="436" t="s">
        <v>2976</v>
      </c>
      <c r="BR260" s="167" t="s">
        <v>619</v>
      </c>
      <c r="BS260" s="168" t="s">
        <v>2977</v>
      </c>
      <c r="BT260" s="167" t="s">
        <v>619</v>
      </c>
      <c r="BU260" s="168" t="s">
        <v>2978</v>
      </c>
      <c r="BV260" s="167" t="s">
        <v>619</v>
      </c>
      <c r="BW260" s="168" t="s">
        <v>2979</v>
      </c>
      <c r="BX260" s="437" t="s">
        <v>619</v>
      </c>
      <c r="BY260" s="171" t="s">
        <v>2980</v>
      </c>
      <c r="BZ260" s="432" t="s">
        <v>546</v>
      </c>
      <c r="CA260" s="168" t="s">
        <v>2981</v>
      </c>
      <c r="CB260" s="167" t="s">
        <v>619</v>
      </c>
      <c r="CC260" s="427" t="s">
        <v>2982</v>
      </c>
      <c r="CD260" s="173" t="s">
        <v>620</v>
      </c>
      <c r="CE260" s="171" t="s">
        <v>2983</v>
      </c>
      <c r="CF260" s="373" t="s">
        <v>619</v>
      </c>
      <c r="CG260" s="175" t="s">
        <v>2984</v>
      </c>
      <c r="CH260" s="167" t="s">
        <v>619</v>
      </c>
      <c r="CI260" s="168" t="s">
        <v>2985</v>
      </c>
      <c r="CJ260" s="167" t="s">
        <v>619</v>
      </c>
      <c r="CK260" s="444" t="s">
        <v>2986</v>
      </c>
      <c r="CL260" s="385" t="s">
        <v>619</v>
      </c>
      <c r="CM260" s="168" t="s">
        <v>2987</v>
      </c>
      <c r="CN260" s="167" t="s">
        <v>619</v>
      </c>
      <c r="CO260" s="168" t="s">
        <v>2988</v>
      </c>
      <c r="CP260" s="167" t="s">
        <v>619</v>
      </c>
      <c r="CQ260" s="168" t="s">
        <v>2989</v>
      </c>
      <c r="CR260" s="373" t="s">
        <v>619</v>
      </c>
      <c r="CS260" s="427" t="s">
        <v>2990</v>
      </c>
      <c r="CT260" s="432" t="s">
        <v>619</v>
      </c>
      <c r="CU260" s="168" t="s">
        <v>2991</v>
      </c>
      <c r="CV260" s="432" t="s">
        <v>620</v>
      </c>
      <c r="CW260" s="168" t="s">
        <v>2992</v>
      </c>
      <c r="CX260" s="168" t="s">
        <v>619</v>
      </c>
      <c r="CY260" s="168" t="s">
        <v>2993</v>
      </c>
      <c r="CZ260" s="173" t="s">
        <v>619</v>
      </c>
      <c r="DA260" s="171" t="s">
        <v>2994</v>
      </c>
      <c r="DB260" s="371" t="s">
        <v>546</v>
      </c>
      <c r="DC260" s="371"/>
      <c r="DD260" s="371"/>
      <c r="DE260" s="371"/>
      <c r="DF260" s="371"/>
      <c r="DG260" s="371"/>
      <c r="DH260" s="371"/>
      <c r="DI260" s="371"/>
      <c r="DJ260" s="371"/>
      <c r="DK260" s="371"/>
      <c r="DL260" s="371"/>
      <c r="DM260" s="371"/>
      <c r="DN260" s="371"/>
      <c r="DO260" s="371"/>
      <c r="DP260" s="371"/>
      <c r="DQ260" s="371"/>
      <c r="DR260" s="371"/>
    </row>
    <row r="261" spans="1:122" ht="18.75" x14ac:dyDescent="0.3">
      <c r="A261" s="325"/>
      <c r="B261" s="326"/>
      <c r="C261" s="327" t="s">
        <v>2995</v>
      </c>
      <c r="D261" s="171"/>
      <c r="E261" s="268"/>
      <c r="F261" s="173"/>
      <c r="G261" s="173"/>
      <c r="H261" s="373" t="s">
        <v>620</v>
      </c>
      <c r="I261" s="427" t="s">
        <v>2996</v>
      </c>
      <c r="J261" s="173" t="s">
        <v>546</v>
      </c>
      <c r="K261" s="371"/>
      <c r="L261" s="426"/>
      <c r="M261" s="427"/>
      <c r="N261" s="173"/>
      <c r="O261" s="171"/>
      <c r="P261" s="167"/>
      <c r="Q261" s="427"/>
      <c r="R261" s="374"/>
      <c r="S261" s="167"/>
      <c r="T261" s="375" t="s">
        <v>620</v>
      </c>
      <c r="U261" s="376" t="s">
        <v>2997</v>
      </c>
      <c r="V261" s="429" t="s">
        <v>546</v>
      </c>
      <c r="W261" s="377"/>
      <c r="X261" s="167"/>
      <c r="Y261" s="444"/>
      <c r="Z261" s="373"/>
      <c r="AA261" s="168"/>
      <c r="AB261" s="167"/>
      <c r="AC261" s="168"/>
      <c r="AD261" s="430" t="s">
        <v>620</v>
      </c>
      <c r="AE261" s="168" t="s">
        <v>2998</v>
      </c>
      <c r="AF261" s="173" t="s">
        <v>546</v>
      </c>
      <c r="AG261" s="171"/>
      <c r="AH261" s="167"/>
      <c r="AI261" s="444"/>
      <c r="AJ261" s="373"/>
      <c r="AK261" s="431"/>
      <c r="AL261" s="173"/>
      <c r="AM261" s="444"/>
      <c r="AN261" s="173"/>
      <c r="AO261" s="171"/>
      <c r="AP261" s="432"/>
      <c r="AQ261" s="635"/>
      <c r="AR261" s="173"/>
      <c r="AS261" s="171"/>
      <c r="AT261" s="173"/>
      <c r="AU261" s="171"/>
      <c r="AV261" s="381"/>
      <c r="AW261" s="168"/>
      <c r="AX261" s="433"/>
      <c r="AY261" s="427"/>
      <c r="AZ261" s="167"/>
      <c r="BA261" s="427"/>
      <c r="BB261" s="164"/>
      <c r="BC261" s="168"/>
      <c r="BD261" s="432"/>
      <c r="BE261" s="427"/>
      <c r="BF261" s="384"/>
      <c r="BG261" s="168"/>
      <c r="BH261" s="432"/>
      <c r="BI261" s="427"/>
      <c r="BJ261" s="167"/>
      <c r="BK261" s="168"/>
      <c r="BL261" s="167"/>
      <c r="BM261" s="168"/>
      <c r="BN261" s="173"/>
      <c r="BO261" s="171"/>
      <c r="BP261" s="435"/>
      <c r="BQ261" s="436"/>
      <c r="BR261" s="167"/>
      <c r="BS261" s="168"/>
      <c r="BT261" s="167"/>
      <c r="BU261" s="168"/>
      <c r="BV261" s="167"/>
      <c r="BW261" s="168"/>
      <c r="BX261" s="437"/>
      <c r="BY261" s="171"/>
      <c r="BZ261" s="432"/>
      <c r="CA261" s="168"/>
      <c r="CB261" s="167"/>
      <c r="CC261" s="373"/>
      <c r="CD261" s="173"/>
      <c r="CE261" s="171"/>
      <c r="CF261" s="167"/>
      <c r="CG261" s="175"/>
      <c r="CH261" s="167"/>
      <c r="CI261" s="168"/>
      <c r="CJ261" s="167"/>
      <c r="CK261" s="168"/>
      <c r="CL261" s="385"/>
      <c r="CM261" s="168"/>
      <c r="CN261" s="167"/>
      <c r="CO261" s="168"/>
      <c r="CP261" s="167"/>
      <c r="CQ261" s="168"/>
      <c r="CR261" s="373"/>
      <c r="CS261" s="427"/>
      <c r="CT261" s="432"/>
      <c r="CU261" s="168"/>
      <c r="CV261" s="432"/>
      <c r="CW261" s="168"/>
      <c r="CX261" s="168"/>
      <c r="CY261" s="168"/>
      <c r="CZ261" s="173"/>
      <c r="DA261" s="171"/>
      <c r="DB261" s="371"/>
      <c r="DC261" s="371"/>
      <c r="DD261" s="371"/>
      <c r="DE261" s="371"/>
      <c r="DF261" s="371"/>
      <c r="DG261" s="371"/>
      <c r="DH261" s="371"/>
      <c r="DI261" s="371"/>
      <c r="DJ261" s="371"/>
      <c r="DK261" s="371"/>
      <c r="DL261" s="371"/>
      <c r="DM261" s="371"/>
      <c r="DN261" s="371"/>
      <c r="DO261" s="371"/>
      <c r="DP261" s="371"/>
      <c r="DQ261" s="371"/>
      <c r="DR261" s="371"/>
    </row>
    <row r="262" spans="1:122" ht="18.75" x14ac:dyDescent="0.3">
      <c r="A262" s="325"/>
      <c r="B262" s="326"/>
      <c r="C262" s="327"/>
      <c r="D262" s="171"/>
      <c r="E262" s="268"/>
      <c r="F262" s="173"/>
      <c r="G262" s="173"/>
      <c r="H262" s="373" t="s">
        <v>620</v>
      </c>
      <c r="I262" s="175" t="s">
        <v>2999</v>
      </c>
      <c r="J262" s="173" t="s">
        <v>546</v>
      </c>
      <c r="K262" s="371"/>
      <c r="L262" s="426"/>
      <c r="M262" s="427"/>
      <c r="N262" s="173"/>
      <c r="O262" s="171"/>
      <c r="P262" s="167"/>
      <c r="Q262" s="427"/>
      <c r="R262" s="374"/>
      <c r="S262" s="167"/>
      <c r="T262" s="375"/>
      <c r="U262" s="376"/>
      <c r="V262" s="429"/>
      <c r="W262" s="377"/>
      <c r="X262" s="167"/>
      <c r="Y262" s="444"/>
      <c r="Z262" s="373"/>
      <c r="AA262" s="168"/>
      <c r="AB262" s="167"/>
      <c r="AC262" s="168"/>
      <c r="AD262" s="430" t="s">
        <v>546</v>
      </c>
      <c r="AE262" s="168" t="s">
        <v>3000</v>
      </c>
      <c r="AF262" s="173" t="s">
        <v>546</v>
      </c>
      <c r="AG262" s="171"/>
      <c r="AH262" s="167"/>
      <c r="AI262" s="444"/>
      <c r="AJ262" s="373"/>
      <c r="AK262" s="431"/>
      <c r="AL262" s="173"/>
      <c r="AM262" s="444"/>
      <c r="AN262" s="173"/>
      <c r="AO262" s="171"/>
      <c r="AP262" s="432"/>
      <c r="AQ262" s="635"/>
      <c r="AR262" s="173"/>
      <c r="AS262" s="171"/>
      <c r="AT262" s="173"/>
      <c r="AU262" s="171"/>
      <c r="AV262" s="381"/>
      <c r="AW262" s="168"/>
      <c r="AX262" s="433"/>
      <c r="AY262" s="427"/>
      <c r="AZ262" s="167"/>
      <c r="BA262" s="427"/>
      <c r="BB262" s="164"/>
      <c r="BC262" s="168"/>
      <c r="BD262" s="432"/>
      <c r="BE262" s="427"/>
      <c r="BF262" s="384"/>
      <c r="BG262" s="168"/>
      <c r="BH262" s="432"/>
      <c r="BI262" s="427"/>
      <c r="BJ262" s="167"/>
      <c r="BK262" s="168"/>
      <c r="BL262" s="167"/>
      <c r="BM262" s="168"/>
      <c r="BN262" s="173"/>
      <c r="BO262" s="171"/>
      <c r="BP262" s="435"/>
      <c r="BQ262" s="436"/>
      <c r="BR262" s="167"/>
      <c r="BS262" s="168"/>
      <c r="BT262" s="167"/>
      <c r="BU262" s="168"/>
      <c r="BV262" s="167"/>
      <c r="BW262" s="168"/>
      <c r="BX262" s="437"/>
      <c r="BY262" s="171"/>
      <c r="BZ262" s="432"/>
      <c r="CA262" s="168"/>
      <c r="CB262" s="167"/>
      <c r="CC262" s="373"/>
      <c r="CD262" s="173"/>
      <c r="CE262" s="171"/>
      <c r="CF262" s="167"/>
      <c r="CG262" s="175"/>
      <c r="CH262" s="167"/>
      <c r="CI262" s="168"/>
      <c r="CJ262" s="167"/>
      <c r="CK262" s="168"/>
      <c r="CL262" s="385"/>
      <c r="CM262" s="168"/>
      <c r="CN262" s="167"/>
      <c r="CO262" s="168"/>
      <c r="CP262" s="167"/>
      <c r="CQ262" s="168"/>
      <c r="CR262" s="373"/>
      <c r="CS262" s="427"/>
      <c r="CT262" s="432"/>
      <c r="CU262" s="168"/>
      <c r="CV262" s="432"/>
      <c r="CW262" s="168"/>
      <c r="CX262" s="168"/>
      <c r="CY262" s="168"/>
      <c r="CZ262" s="173" t="s">
        <v>546</v>
      </c>
      <c r="DA262" s="171"/>
      <c r="DB262" s="371"/>
      <c r="DC262" s="371"/>
      <c r="DD262" s="371"/>
      <c r="DE262" s="371"/>
      <c r="DF262" s="371"/>
      <c r="DG262" s="371"/>
      <c r="DH262" s="371"/>
      <c r="DI262" s="371"/>
      <c r="DJ262" s="371"/>
      <c r="DK262" s="371"/>
      <c r="DL262" s="371"/>
      <c r="DM262" s="371"/>
      <c r="DN262" s="371"/>
      <c r="DO262" s="371"/>
      <c r="DP262" s="371"/>
      <c r="DQ262" s="371"/>
      <c r="DR262" s="371"/>
    </row>
    <row r="263" spans="1:122" ht="18.75" x14ac:dyDescent="0.3">
      <c r="A263" s="325"/>
      <c r="B263" s="326">
        <v>200</v>
      </c>
      <c r="C263" s="327" t="s">
        <v>3001</v>
      </c>
      <c r="D263" s="562" t="s">
        <v>620</v>
      </c>
      <c r="E263" s="571" t="s">
        <v>3002</v>
      </c>
      <c r="F263" s="173" t="s">
        <v>546</v>
      </c>
      <c r="G263" s="173"/>
      <c r="H263" s="373"/>
      <c r="I263" s="427"/>
      <c r="J263" s="173" t="s">
        <v>620</v>
      </c>
      <c r="K263" s="371" t="s">
        <v>3003</v>
      </c>
      <c r="L263" s="426" t="s">
        <v>620</v>
      </c>
      <c r="M263" s="427" t="s">
        <v>3004</v>
      </c>
      <c r="N263" s="173" t="s">
        <v>619</v>
      </c>
      <c r="O263" s="171" t="s">
        <v>3005</v>
      </c>
      <c r="P263" s="167" t="s">
        <v>620</v>
      </c>
      <c r="Q263" s="427" t="s">
        <v>3006</v>
      </c>
      <c r="R263" s="374" t="s">
        <v>620</v>
      </c>
      <c r="S263" s="167"/>
      <c r="T263" s="375"/>
      <c r="U263" s="376"/>
      <c r="V263" s="633" t="s">
        <v>620</v>
      </c>
      <c r="W263" s="377" t="s">
        <v>3007</v>
      </c>
      <c r="X263" s="167" t="s">
        <v>620</v>
      </c>
      <c r="Y263" s="444" t="s">
        <v>3008</v>
      </c>
      <c r="Z263" s="373" t="s">
        <v>620</v>
      </c>
      <c r="AA263" s="168" t="s">
        <v>3009</v>
      </c>
      <c r="AB263" s="167" t="s">
        <v>620</v>
      </c>
      <c r="AC263" s="168"/>
      <c r="AD263" s="430" t="s">
        <v>546</v>
      </c>
      <c r="AE263" s="168" t="s">
        <v>3010</v>
      </c>
      <c r="AF263" s="173" t="s">
        <v>620</v>
      </c>
      <c r="AG263" s="171" t="s">
        <v>3011</v>
      </c>
      <c r="AH263" s="167" t="s">
        <v>620</v>
      </c>
      <c r="AI263" s="444" t="s">
        <v>3012</v>
      </c>
      <c r="AJ263" s="373" t="s">
        <v>620</v>
      </c>
      <c r="AK263" s="431" t="s">
        <v>3013</v>
      </c>
      <c r="AL263" s="173" t="s">
        <v>620</v>
      </c>
      <c r="AM263" s="478" t="s">
        <v>3014</v>
      </c>
      <c r="AN263" s="173" t="s">
        <v>620</v>
      </c>
      <c r="AO263" s="171" t="s">
        <v>3015</v>
      </c>
      <c r="AP263" s="432" t="s">
        <v>619</v>
      </c>
      <c r="AQ263" s="634" t="s">
        <v>3016</v>
      </c>
      <c r="AR263" s="173" t="s">
        <v>620</v>
      </c>
      <c r="AS263" s="171" t="s">
        <v>3017</v>
      </c>
      <c r="AT263" s="173" t="s">
        <v>620</v>
      </c>
      <c r="AU263" s="171" t="s">
        <v>3018</v>
      </c>
      <c r="AV263" s="381" t="s">
        <v>620</v>
      </c>
      <c r="AW263" s="168" t="s">
        <v>3019</v>
      </c>
      <c r="AX263" s="433" t="s">
        <v>620</v>
      </c>
      <c r="AY263" s="427" t="s">
        <v>3020</v>
      </c>
      <c r="AZ263" s="167" t="s">
        <v>620</v>
      </c>
      <c r="BA263" s="427" t="s">
        <v>2969</v>
      </c>
      <c r="BB263" s="164" t="s">
        <v>620</v>
      </c>
      <c r="BC263" s="168"/>
      <c r="BD263" s="432" t="s">
        <v>619</v>
      </c>
      <c r="BE263" s="427" t="s">
        <v>3021</v>
      </c>
      <c r="BF263" s="384" t="s">
        <v>620</v>
      </c>
      <c r="BG263" s="168" t="s">
        <v>3022</v>
      </c>
      <c r="BH263" s="432" t="s">
        <v>620</v>
      </c>
      <c r="BI263" s="427" t="s">
        <v>2972</v>
      </c>
      <c r="BJ263" s="167" t="s">
        <v>3023</v>
      </c>
      <c r="BK263" s="168" t="s">
        <v>3024</v>
      </c>
      <c r="BL263" s="167" t="s">
        <v>619</v>
      </c>
      <c r="BM263" s="168" t="s">
        <v>3025</v>
      </c>
      <c r="BN263" s="173" t="s">
        <v>620</v>
      </c>
      <c r="BO263" s="171" t="s">
        <v>3026</v>
      </c>
      <c r="BP263" s="435" t="s">
        <v>620</v>
      </c>
      <c r="BQ263" s="436" t="s">
        <v>3027</v>
      </c>
      <c r="BR263" s="167" t="s">
        <v>620</v>
      </c>
      <c r="BS263" s="168" t="s">
        <v>3028</v>
      </c>
      <c r="BT263" s="167" t="s">
        <v>620</v>
      </c>
      <c r="BU263" s="168" t="s">
        <v>3029</v>
      </c>
      <c r="BV263" s="167"/>
      <c r="BW263" s="168" t="s">
        <v>3030</v>
      </c>
      <c r="BX263" s="437" t="s">
        <v>620</v>
      </c>
      <c r="BY263" s="171" t="s">
        <v>3031</v>
      </c>
      <c r="BZ263" s="432" t="s">
        <v>546</v>
      </c>
      <c r="CA263" s="168"/>
      <c r="CB263" s="167" t="s">
        <v>619</v>
      </c>
      <c r="CC263" s="427" t="s">
        <v>3032</v>
      </c>
      <c r="CD263" s="173" t="s">
        <v>620</v>
      </c>
      <c r="CE263" s="171"/>
      <c r="CF263" s="167" t="s">
        <v>620</v>
      </c>
      <c r="CG263" s="175" t="s">
        <v>3033</v>
      </c>
      <c r="CH263" s="167" t="s">
        <v>620</v>
      </c>
      <c r="CI263" s="168" t="s">
        <v>3034</v>
      </c>
      <c r="CJ263" s="167" t="s">
        <v>620</v>
      </c>
      <c r="CK263" s="444" t="s">
        <v>3035</v>
      </c>
      <c r="CL263" s="432" t="s">
        <v>620</v>
      </c>
      <c r="CM263" s="168"/>
      <c r="CN263" s="167" t="s">
        <v>620</v>
      </c>
      <c r="CO263" s="168"/>
      <c r="CP263" s="167" t="s">
        <v>620</v>
      </c>
      <c r="CQ263" s="168" t="s">
        <v>3036</v>
      </c>
      <c r="CR263" s="373" t="s">
        <v>620</v>
      </c>
      <c r="CS263" s="454" t="s">
        <v>3037</v>
      </c>
      <c r="CT263" s="432" t="s">
        <v>620</v>
      </c>
      <c r="CU263" s="168" t="s">
        <v>3038</v>
      </c>
      <c r="CV263" s="432" t="s">
        <v>619</v>
      </c>
      <c r="CW263" s="168" t="s">
        <v>3039</v>
      </c>
      <c r="CX263" s="168" t="s">
        <v>620</v>
      </c>
      <c r="CY263" s="168" t="s">
        <v>3040</v>
      </c>
      <c r="CZ263" s="173" t="s">
        <v>620</v>
      </c>
      <c r="DA263" s="171" t="s">
        <v>3041</v>
      </c>
      <c r="DB263" s="371" t="s">
        <v>546</v>
      </c>
      <c r="DC263" s="371"/>
      <c r="DD263" s="371"/>
      <c r="DE263" s="371"/>
      <c r="DF263" s="371"/>
      <c r="DG263" s="371"/>
      <c r="DH263" s="371"/>
      <c r="DI263" s="371"/>
      <c r="DJ263" s="371"/>
      <c r="DK263" s="371"/>
      <c r="DL263" s="371"/>
      <c r="DM263" s="371"/>
      <c r="DN263" s="371"/>
      <c r="DO263" s="371"/>
      <c r="DP263" s="371"/>
      <c r="DQ263" s="371"/>
      <c r="DR263" s="371"/>
    </row>
    <row r="264" spans="1:122" ht="18.75" x14ac:dyDescent="0.3">
      <c r="A264" s="325"/>
      <c r="B264" s="326"/>
      <c r="C264" s="327" t="s">
        <v>3042</v>
      </c>
      <c r="D264" s="171"/>
      <c r="E264" s="268"/>
      <c r="F264" s="173"/>
      <c r="G264" s="173"/>
      <c r="H264" s="175"/>
      <c r="I264" s="175"/>
      <c r="J264" s="173"/>
      <c r="K264" s="371"/>
      <c r="L264" s="426"/>
      <c r="M264" s="427"/>
      <c r="N264" s="173"/>
      <c r="O264" s="171"/>
      <c r="P264" s="167"/>
      <c r="Q264" s="427"/>
      <c r="R264" s="374"/>
      <c r="S264" s="167"/>
      <c r="T264" s="375" t="s">
        <v>620</v>
      </c>
      <c r="U264" s="376" t="s">
        <v>3043</v>
      </c>
      <c r="V264" s="429"/>
      <c r="W264" s="377"/>
      <c r="X264" s="167"/>
      <c r="Y264" s="444"/>
      <c r="Z264" s="373"/>
      <c r="AA264" s="168"/>
      <c r="AB264" s="167"/>
      <c r="AC264" s="168"/>
      <c r="AD264" s="430" t="s">
        <v>619</v>
      </c>
      <c r="AE264" s="168" t="s">
        <v>3044</v>
      </c>
      <c r="AF264" s="173" t="s">
        <v>546</v>
      </c>
      <c r="AG264" s="171"/>
      <c r="AH264" s="167"/>
      <c r="AI264" s="444"/>
      <c r="AJ264" s="373"/>
      <c r="AK264" s="431"/>
      <c r="AL264" s="173"/>
      <c r="AM264" s="444"/>
      <c r="AN264" s="173"/>
      <c r="AO264" s="171"/>
      <c r="AP264" s="432"/>
      <c r="AQ264" s="444"/>
      <c r="AR264" s="173"/>
      <c r="AS264" s="171"/>
      <c r="AT264" s="173"/>
      <c r="AU264" s="171"/>
      <c r="AV264" s="381"/>
      <c r="AW264" s="168"/>
      <c r="AX264" s="433"/>
      <c r="AY264" s="427"/>
      <c r="AZ264" s="167"/>
      <c r="BA264" s="427"/>
      <c r="BB264" s="164"/>
      <c r="BC264" s="168"/>
      <c r="BD264" s="432"/>
      <c r="BE264" s="427"/>
      <c r="BF264" s="384"/>
      <c r="BG264" s="168"/>
      <c r="BH264" s="432"/>
      <c r="BI264" s="427"/>
      <c r="BJ264" s="167"/>
      <c r="BK264" s="168"/>
      <c r="BL264" s="167" t="s">
        <v>546</v>
      </c>
      <c r="BM264" s="168"/>
      <c r="BN264" s="173"/>
      <c r="BO264" s="171"/>
      <c r="BP264" s="435"/>
      <c r="BQ264" s="436"/>
      <c r="BR264" s="167"/>
      <c r="BS264" s="168"/>
      <c r="BT264" s="167"/>
      <c r="BU264" s="168"/>
      <c r="BV264" s="167"/>
      <c r="BW264" s="168"/>
      <c r="BX264" s="437"/>
      <c r="BY264" s="171"/>
      <c r="BZ264" s="432"/>
      <c r="CA264" s="168"/>
      <c r="CB264" s="167"/>
      <c r="CC264" s="427" t="s">
        <v>3045</v>
      </c>
      <c r="CD264" s="173" t="s">
        <v>546</v>
      </c>
      <c r="CE264" s="171"/>
      <c r="CF264" s="167"/>
      <c r="CG264" s="175"/>
      <c r="CH264" s="167"/>
      <c r="CI264" s="168"/>
      <c r="CJ264" s="167"/>
      <c r="CK264" s="168"/>
      <c r="CL264" s="432"/>
      <c r="CM264" s="168"/>
      <c r="CN264" s="167"/>
      <c r="CO264" s="168"/>
      <c r="CP264" s="167"/>
      <c r="CQ264" s="168"/>
      <c r="CR264" s="373"/>
      <c r="CS264" s="427"/>
      <c r="CT264" s="432"/>
      <c r="CU264" s="168"/>
      <c r="CV264" s="432"/>
      <c r="CW264" s="168"/>
      <c r="CX264" s="168"/>
      <c r="CY264" s="168"/>
      <c r="CZ264" s="173"/>
      <c r="DA264" s="171"/>
      <c r="DB264" s="371"/>
      <c r="DC264" s="371"/>
      <c r="DD264" s="371"/>
      <c r="DE264" s="371"/>
      <c r="DF264" s="371"/>
      <c r="DG264" s="371"/>
      <c r="DH264" s="371"/>
      <c r="DI264" s="371"/>
      <c r="DJ264" s="371"/>
      <c r="DK264" s="371"/>
      <c r="DL264" s="371"/>
      <c r="DM264" s="371"/>
      <c r="DN264" s="371"/>
      <c r="DO264" s="371"/>
      <c r="DP264" s="371"/>
      <c r="DQ264" s="371"/>
      <c r="DR264" s="371"/>
    </row>
    <row r="265" spans="1:122" ht="18.75" x14ac:dyDescent="0.3">
      <c r="A265" s="325"/>
      <c r="B265" s="326"/>
      <c r="C265" s="327" t="s">
        <v>3046</v>
      </c>
      <c r="D265" s="171"/>
      <c r="E265" s="268"/>
      <c r="F265" s="173"/>
      <c r="G265" s="173"/>
      <c r="H265" s="175"/>
      <c r="I265" s="175"/>
      <c r="J265" s="173"/>
      <c r="K265" s="371"/>
      <c r="L265" s="426"/>
      <c r="M265" s="427"/>
      <c r="N265" s="173"/>
      <c r="O265" s="171"/>
      <c r="P265" s="167"/>
      <c r="Q265" s="427"/>
      <c r="R265" s="374"/>
      <c r="S265" s="167"/>
      <c r="T265" s="375"/>
      <c r="U265" s="376"/>
      <c r="V265" s="429"/>
      <c r="W265" s="377"/>
      <c r="X265" s="167"/>
      <c r="Y265" s="444"/>
      <c r="Z265" s="373"/>
      <c r="AA265" s="168"/>
      <c r="AB265" s="167"/>
      <c r="AC265" s="168"/>
      <c r="AD265" s="430" t="s">
        <v>546</v>
      </c>
      <c r="AE265" s="168"/>
      <c r="AF265" s="173"/>
      <c r="AG265" s="171"/>
      <c r="AH265" s="167"/>
      <c r="AI265" s="444"/>
      <c r="AJ265" s="373"/>
      <c r="AK265" s="431"/>
      <c r="AL265" s="173"/>
      <c r="AM265" s="444"/>
      <c r="AN265" s="173"/>
      <c r="AO265" s="171"/>
      <c r="AP265" s="432"/>
      <c r="AQ265" s="444"/>
      <c r="AR265" s="173"/>
      <c r="AS265" s="171"/>
      <c r="AT265" s="173"/>
      <c r="AU265" s="171"/>
      <c r="AV265" s="381"/>
      <c r="AW265" s="168"/>
      <c r="AX265" s="433"/>
      <c r="AY265" s="427"/>
      <c r="AZ265" s="167"/>
      <c r="BA265" s="427"/>
      <c r="BB265" s="164"/>
      <c r="BC265" s="168"/>
      <c r="BD265" s="432"/>
      <c r="BE265" s="427"/>
      <c r="BF265" s="384"/>
      <c r="BG265" s="168"/>
      <c r="BH265" s="432"/>
      <c r="BI265" s="427"/>
      <c r="BJ265" s="167"/>
      <c r="BK265" s="168"/>
      <c r="BL265" s="167"/>
      <c r="BM265" s="168"/>
      <c r="BN265" s="173"/>
      <c r="BO265" s="171"/>
      <c r="BP265" s="435"/>
      <c r="BQ265" s="436"/>
      <c r="BR265" s="167"/>
      <c r="BS265" s="168"/>
      <c r="BT265" s="167"/>
      <c r="BU265" s="168"/>
      <c r="BV265" s="167"/>
      <c r="BW265" s="168"/>
      <c r="BX265" s="437"/>
      <c r="BY265" s="171"/>
      <c r="BZ265" s="432"/>
      <c r="CA265" s="168"/>
      <c r="CB265" s="167"/>
      <c r="CC265" s="373"/>
      <c r="CD265" s="173"/>
      <c r="CE265" s="171"/>
      <c r="CF265" s="167"/>
      <c r="CG265" s="175"/>
      <c r="CH265" s="167"/>
      <c r="CI265" s="168"/>
      <c r="CJ265" s="167"/>
      <c r="CK265" s="168"/>
      <c r="CL265" s="432"/>
      <c r="CM265" s="168"/>
      <c r="CN265" s="167"/>
      <c r="CO265" s="168"/>
      <c r="CP265" s="167"/>
      <c r="CQ265" s="168"/>
      <c r="CR265" s="373"/>
      <c r="CS265" s="427"/>
      <c r="CT265" s="432"/>
      <c r="CU265" s="168"/>
      <c r="CV265" s="432"/>
      <c r="CW265" s="168"/>
      <c r="CX265" s="168"/>
      <c r="CY265" s="168"/>
      <c r="CZ265" s="173"/>
      <c r="DA265" s="171"/>
      <c r="DB265" s="371"/>
      <c r="DC265" s="371"/>
      <c r="DD265" s="371"/>
      <c r="DE265" s="371"/>
      <c r="DF265" s="371"/>
      <c r="DG265" s="371"/>
      <c r="DH265" s="371"/>
      <c r="DI265" s="371"/>
      <c r="DJ265" s="371"/>
      <c r="DK265" s="371"/>
      <c r="DL265" s="371"/>
      <c r="DM265" s="371"/>
      <c r="DN265" s="371"/>
      <c r="DO265" s="371"/>
      <c r="DP265" s="371"/>
      <c r="DQ265" s="371"/>
      <c r="DR265" s="371"/>
    </row>
    <row r="266" spans="1:122" ht="18.75" x14ac:dyDescent="0.3">
      <c r="A266" s="325"/>
      <c r="B266" s="326" t="s">
        <v>3047</v>
      </c>
      <c r="C266" s="327"/>
      <c r="D266" s="171"/>
      <c r="E266" s="268"/>
      <c r="F266" s="173"/>
      <c r="G266" s="173"/>
      <c r="H266" s="447"/>
      <c r="I266" s="444"/>
      <c r="J266" s="173"/>
      <c r="K266" s="371"/>
      <c r="L266" s="426"/>
      <c r="M266" s="427"/>
      <c r="N266" s="173"/>
      <c r="O266" s="171"/>
      <c r="P266" s="167"/>
      <c r="Q266" s="427"/>
      <c r="R266" s="374"/>
      <c r="S266" s="167"/>
      <c r="T266" s="375"/>
      <c r="U266" s="376"/>
      <c r="V266" s="429"/>
      <c r="W266" s="377"/>
      <c r="X266" s="167"/>
      <c r="Y266" s="444"/>
      <c r="Z266" s="373"/>
      <c r="AA266" s="168"/>
      <c r="AB266" s="167"/>
      <c r="AC266" s="168"/>
      <c r="AD266" s="430" t="s">
        <v>546</v>
      </c>
      <c r="AE266" s="168"/>
      <c r="AF266" s="173"/>
      <c r="AG266" s="171"/>
      <c r="AH266" s="167"/>
      <c r="AI266" s="444"/>
      <c r="AJ266" s="373"/>
      <c r="AK266" s="431"/>
      <c r="AL266" s="173"/>
      <c r="AM266" s="444"/>
      <c r="AN266" s="173"/>
      <c r="AO266" s="171"/>
      <c r="AP266" s="432"/>
      <c r="AQ266" s="444"/>
      <c r="AR266" s="173"/>
      <c r="AS266" s="171"/>
      <c r="AT266" s="173"/>
      <c r="AU266" s="171"/>
      <c r="AV266" s="381"/>
      <c r="AW266" s="168"/>
      <c r="AX266" s="433"/>
      <c r="AY266" s="427"/>
      <c r="AZ266" s="167"/>
      <c r="BA266" s="427"/>
      <c r="BB266" s="164"/>
      <c r="BC266" s="168"/>
      <c r="BD266" s="432"/>
      <c r="BE266" s="427"/>
      <c r="BF266" s="384"/>
      <c r="BG266" s="168"/>
      <c r="BH266" s="432"/>
      <c r="BI266" s="427"/>
      <c r="BJ266" s="167"/>
      <c r="BK266" s="168"/>
      <c r="BL266" s="167"/>
      <c r="BM266" s="168"/>
      <c r="BN266" s="173"/>
      <c r="BO266" s="171"/>
      <c r="BP266" s="435"/>
      <c r="BQ266" s="436"/>
      <c r="BR266" s="167"/>
      <c r="BS266" s="168"/>
      <c r="BT266" s="167"/>
      <c r="BU266" s="168"/>
      <c r="BV266" s="167"/>
      <c r="BW266" s="168"/>
      <c r="BX266" s="437"/>
      <c r="BY266" s="171"/>
      <c r="BZ266" s="432"/>
      <c r="CA266" s="168"/>
      <c r="CB266" s="167"/>
      <c r="CC266" s="373"/>
      <c r="CD266" s="173"/>
      <c r="CE266" s="171"/>
      <c r="CF266" s="167"/>
      <c r="CG266" s="175"/>
      <c r="CH266" s="167"/>
      <c r="CI266" s="168"/>
      <c r="CJ266" s="167"/>
      <c r="CK266" s="168"/>
      <c r="CL266" s="432"/>
      <c r="CM266" s="168"/>
      <c r="CN266" s="167"/>
      <c r="CO266" s="168"/>
      <c r="CP266" s="167"/>
      <c r="CQ266" s="168"/>
      <c r="CR266" s="373"/>
      <c r="CS266" s="427"/>
      <c r="CT266" s="432"/>
      <c r="CU266" s="168"/>
      <c r="CV266" s="432"/>
      <c r="CW266" s="168"/>
      <c r="CX266" s="168"/>
      <c r="CY266" s="168"/>
      <c r="CZ266" s="173" t="s">
        <v>546</v>
      </c>
      <c r="DA266" s="171" t="s">
        <v>546</v>
      </c>
      <c r="DB266" s="371"/>
      <c r="DC266" s="371"/>
      <c r="DD266" s="371"/>
      <c r="DE266" s="371"/>
      <c r="DF266" s="371"/>
      <c r="DG266" s="371"/>
      <c r="DH266" s="371"/>
      <c r="DI266" s="371"/>
      <c r="DJ266" s="371"/>
      <c r="DK266" s="371"/>
      <c r="DL266" s="371"/>
      <c r="DM266" s="371"/>
      <c r="DN266" s="371"/>
      <c r="DO266" s="371"/>
      <c r="DP266" s="371"/>
      <c r="DQ266" s="371"/>
      <c r="DR266" s="371"/>
    </row>
    <row r="267" spans="1:122" ht="18.75" x14ac:dyDescent="0.25">
      <c r="A267" s="636"/>
      <c r="B267" s="637">
        <v>201</v>
      </c>
      <c r="C267" s="637" t="s">
        <v>3048</v>
      </c>
      <c r="D267" s="562" t="s">
        <v>620</v>
      </c>
      <c r="E267" s="614" t="s">
        <v>3049</v>
      </c>
      <c r="F267" s="431" t="s">
        <v>546</v>
      </c>
      <c r="G267" s="431"/>
      <c r="H267" s="447"/>
      <c r="I267" s="444"/>
      <c r="J267" s="173" t="s">
        <v>619</v>
      </c>
      <c r="K267" s="371" t="s">
        <v>3050</v>
      </c>
      <c r="L267" s="603" t="s">
        <v>619</v>
      </c>
      <c r="M267" s="444" t="s">
        <v>3051</v>
      </c>
      <c r="N267" s="173" t="s">
        <v>620</v>
      </c>
      <c r="O267" s="171" t="s">
        <v>3052</v>
      </c>
      <c r="P267" s="175" t="s">
        <v>620</v>
      </c>
      <c r="Q267" s="175" t="s">
        <v>3053</v>
      </c>
      <c r="R267" s="457" t="s">
        <v>620</v>
      </c>
      <c r="S267" s="175"/>
      <c r="T267" s="638"/>
      <c r="U267" s="638"/>
      <c r="V267" s="639" t="s">
        <v>620</v>
      </c>
      <c r="W267" s="640" t="s">
        <v>3054</v>
      </c>
      <c r="X267" s="175" t="s">
        <v>620</v>
      </c>
      <c r="Y267" s="175" t="s">
        <v>3055</v>
      </c>
      <c r="Z267" s="373" t="s">
        <v>620</v>
      </c>
      <c r="AA267" s="175" t="s">
        <v>3056</v>
      </c>
      <c r="AB267" s="425" t="s">
        <v>619</v>
      </c>
      <c r="AC267" s="175" t="s">
        <v>3057</v>
      </c>
      <c r="AD267" s="641" t="s">
        <v>620</v>
      </c>
      <c r="AE267" s="175" t="s">
        <v>3058</v>
      </c>
      <c r="AF267" s="173" t="s">
        <v>620</v>
      </c>
      <c r="AG267" s="171" t="s">
        <v>3059</v>
      </c>
      <c r="AH267" s="444" t="s">
        <v>620</v>
      </c>
      <c r="AI267" s="175" t="s">
        <v>3060</v>
      </c>
      <c r="AJ267" s="373" t="s">
        <v>620</v>
      </c>
      <c r="AK267" s="431" t="s">
        <v>3061</v>
      </c>
      <c r="AL267" s="617" t="s">
        <v>620</v>
      </c>
      <c r="AM267" s="175" t="s">
        <v>3062</v>
      </c>
      <c r="AN267" s="173" t="s">
        <v>619</v>
      </c>
      <c r="AO267" s="171" t="s">
        <v>3063</v>
      </c>
      <c r="AP267" s="432" t="s">
        <v>620</v>
      </c>
      <c r="AQ267" s="175" t="s">
        <v>3064</v>
      </c>
      <c r="AR267" s="173" t="s">
        <v>619</v>
      </c>
      <c r="AS267" s="171" t="s">
        <v>3065</v>
      </c>
      <c r="AT267" s="173" t="s">
        <v>619</v>
      </c>
      <c r="AU267" s="171" t="s">
        <v>3066</v>
      </c>
      <c r="AV267" s="381" t="s">
        <v>620</v>
      </c>
      <c r="AW267" s="175" t="s">
        <v>3067</v>
      </c>
      <c r="AX267" s="442" t="s">
        <v>620</v>
      </c>
      <c r="AY267" s="175" t="s">
        <v>3068</v>
      </c>
      <c r="AZ267" s="373" t="s">
        <v>620</v>
      </c>
      <c r="BA267" s="175" t="s">
        <v>3069</v>
      </c>
      <c r="BB267" s="164" t="s">
        <v>620</v>
      </c>
      <c r="BC267" s="175" t="s">
        <v>3070</v>
      </c>
      <c r="BD267" s="432" t="s">
        <v>620</v>
      </c>
      <c r="BE267" s="175" t="s">
        <v>3071</v>
      </c>
      <c r="BF267" s="384" t="s">
        <v>620</v>
      </c>
      <c r="BG267" s="175" t="s">
        <v>3072</v>
      </c>
      <c r="BH267" s="432" t="s">
        <v>620</v>
      </c>
      <c r="BI267" s="175" t="s">
        <v>3073</v>
      </c>
      <c r="BJ267" s="167" t="s">
        <v>3023</v>
      </c>
      <c r="BK267" s="168" t="s">
        <v>3024</v>
      </c>
      <c r="BL267" s="373" t="s">
        <v>620</v>
      </c>
      <c r="BM267" s="175" t="s">
        <v>3074</v>
      </c>
      <c r="BN267" s="173" t="s">
        <v>620</v>
      </c>
      <c r="BO267" s="171" t="s">
        <v>3075</v>
      </c>
      <c r="BP267" s="435" t="s">
        <v>620</v>
      </c>
      <c r="BQ267" s="642" t="s">
        <v>3076</v>
      </c>
      <c r="BR267" s="167" t="s">
        <v>3077</v>
      </c>
      <c r="BS267" s="175" t="s">
        <v>3078</v>
      </c>
      <c r="BT267" s="373" t="s">
        <v>620</v>
      </c>
      <c r="BU267" s="175"/>
      <c r="BV267" s="373" t="s">
        <v>620</v>
      </c>
      <c r="BW267" s="175" t="s">
        <v>3079</v>
      </c>
      <c r="BX267" s="437" t="s">
        <v>619</v>
      </c>
      <c r="BY267" s="171"/>
      <c r="BZ267" s="643"/>
      <c r="CA267" s="175"/>
      <c r="CB267" s="167" t="s">
        <v>620</v>
      </c>
      <c r="CC267" s="175" t="s">
        <v>3080</v>
      </c>
      <c r="CD267" s="173" t="s">
        <v>620</v>
      </c>
      <c r="CE267" s="171" t="s">
        <v>3081</v>
      </c>
      <c r="CF267" s="373" t="s">
        <v>620</v>
      </c>
      <c r="CG267" s="175" t="s">
        <v>3082</v>
      </c>
      <c r="CH267" s="167" t="s">
        <v>620</v>
      </c>
      <c r="CI267" s="175" t="s">
        <v>3083</v>
      </c>
      <c r="CJ267" s="167" t="s">
        <v>620</v>
      </c>
      <c r="CK267" s="175" t="s">
        <v>3084</v>
      </c>
      <c r="CL267" s="442" t="s">
        <v>620</v>
      </c>
      <c r="CM267" s="175" t="s">
        <v>3085</v>
      </c>
      <c r="CN267" s="373" t="s">
        <v>619</v>
      </c>
      <c r="CO267" s="175"/>
      <c r="CP267" s="373" t="s">
        <v>620</v>
      </c>
      <c r="CQ267" s="175" t="s">
        <v>3086</v>
      </c>
      <c r="CR267" s="373" t="s">
        <v>619</v>
      </c>
      <c r="CS267" s="175" t="s">
        <v>3087</v>
      </c>
      <c r="CT267" s="432" t="s">
        <v>620</v>
      </c>
      <c r="CU267" s="175" t="s">
        <v>3088</v>
      </c>
      <c r="CV267" s="432" t="s">
        <v>620</v>
      </c>
      <c r="CW267" s="175" t="s">
        <v>3089</v>
      </c>
      <c r="CX267" s="175" t="s">
        <v>620</v>
      </c>
      <c r="CY267" s="175" t="s">
        <v>3090</v>
      </c>
      <c r="CZ267" s="173" t="s">
        <v>619</v>
      </c>
      <c r="DA267" s="171" t="s">
        <v>3091</v>
      </c>
      <c r="DB267" s="371" t="s">
        <v>546</v>
      </c>
      <c r="DC267" s="371"/>
      <c r="DD267" s="371"/>
      <c r="DE267" s="371"/>
      <c r="DF267" s="371"/>
      <c r="DG267" s="371"/>
      <c r="DH267" s="371"/>
      <c r="DI267" s="371"/>
      <c r="DJ267" s="371"/>
      <c r="DK267" s="371"/>
      <c r="DL267" s="371"/>
      <c r="DM267" s="371"/>
      <c r="DN267" s="371"/>
      <c r="DO267" s="371"/>
      <c r="DP267" s="371"/>
      <c r="DQ267" s="371"/>
      <c r="DR267" s="371"/>
    </row>
    <row r="268" spans="1:122" ht="18.75" x14ac:dyDescent="0.3">
      <c r="A268" s="325"/>
      <c r="B268" s="326"/>
      <c r="C268" s="327" t="s">
        <v>3092</v>
      </c>
      <c r="D268" s="171"/>
      <c r="E268" s="268"/>
      <c r="F268" s="173"/>
      <c r="G268" s="173"/>
      <c r="H268" s="447"/>
      <c r="I268" s="444"/>
      <c r="J268" s="173"/>
      <c r="K268" s="371"/>
      <c r="L268" s="603"/>
      <c r="M268" s="644" t="s">
        <v>3093</v>
      </c>
      <c r="N268" s="173" t="s">
        <v>546</v>
      </c>
      <c r="O268" s="171"/>
      <c r="P268" s="167"/>
      <c r="Q268" s="427"/>
      <c r="R268" s="374"/>
      <c r="S268" s="167"/>
      <c r="T268" s="375" t="s">
        <v>620</v>
      </c>
      <c r="U268" s="376" t="s">
        <v>3094</v>
      </c>
      <c r="V268" s="429"/>
      <c r="W268" s="377"/>
      <c r="X268" s="167" t="s">
        <v>546</v>
      </c>
      <c r="Y268" s="444"/>
      <c r="Z268" s="167"/>
      <c r="AA268" s="168"/>
      <c r="AB268" s="167"/>
      <c r="AC268" s="168"/>
      <c r="AD268" s="641"/>
      <c r="AE268" s="175" t="s">
        <v>3095</v>
      </c>
      <c r="AF268" s="173" t="s">
        <v>546</v>
      </c>
      <c r="AG268" s="171"/>
      <c r="AH268" s="167"/>
      <c r="AI268" s="444"/>
      <c r="AJ268" s="373"/>
      <c r="AK268" s="431"/>
      <c r="AL268" s="173"/>
      <c r="AM268" s="444"/>
      <c r="AN268" s="173"/>
      <c r="AO268" s="171"/>
      <c r="AP268" s="432"/>
      <c r="AQ268" s="444"/>
      <c r="AR268" s="173"/>
      <c r="AS268" s="171"/>
      <c r="AT268" s="173"/>
      <c r="AU268" s="171"/>
      <c r="AV268" s="381"/>
      <c r="AW268" s="168"/>
      <c r="AX268" s="432"/>
      <c r="AY268" s="427"/>
      <c r="AZ268" s="167"/>
      <c r="BA268" s="427"/>
      <c r="BB268" s="164"/>
      <c r="BC268" s="168"/>
      <c r="BD268" s="432"/>
      <c r="BE268" s="427"/>
      <c r="BF268" s="384"/>
      <c r="BG268" s="168"/>
      <c r="BH268" s="432"/>
      <c r="BI268" s="427"/>
      <c r="BJ268" s="167"/>
      <c r="BK268" s="168"/>
      <c r="BL268" s="167"/>
      <c r="BM268" s="168"/>
      <c r="BN268" s="173"/>
      <c r="BO268" s="171"/>
      <c r="BP268" s="435"/>
      <c r="BQ268" s="436"/>
      <c r="BR268" s="167"/>
      <c r="BS268" s="168"/>
      <c r="BT268" s="167"/>
      <c r="BU268" s="168"/>
      <c r="BV268" s="167"/>
      <c r="BW268" s="168"/>
      <c r="BX268" s="437"/>
      <c r="BY268" s="171"/>
      <c r="BZ268" s="432"/>
      <c r="CA268" s="168"/>
      <c r="CB268" s="167"/>
      <c r="CC268" s="167"/>
      <c r="CD268" s="645"/>
      <c r="CE268" s="371"/>
      <c r="CF268" s="167"/>
      <c r="CG268" s="168"/>
      <c r="CH268" s="167"/>
      <c r="CI268" s="168"/>
      <c r="CJ268" s="167"/>
      <c r="CK268" s="175"/>
      <c r="CL268" s="432"/>
      <c r="CM268" s="168"/>
      <c r="CN268" s="167"/>
      <c r="CO268" s="168"/>
      <c r="CP268" s="167"/>
      <c r="CQ268" s="168"/>
      <c r="CR268" s="167"/>
      <c r="CS268" s="168"/>
      <c r="CT268" s="432"/>
      <c r="CU268" s="168"/>
      <c r="CV268" s="432"/>
      <c r="CW268" s="168"/>
      <c r="CX268" s="168"/>
      <c r="CY268" s="168"/>
      <c r="CZ268" s="645"/>
      <c r="DA268" s="371"/>
      <c r="DB268" s="371"/>
      <c r="DC268" s="371"/>
      <c r="DD268" s="371"/>
      <c r="DE268" s="371"/>
      <c r="DF268" s="371"/>
      <c r="DG268" s="371"/>
      <c r="DH268" s="371"/>
      <c r="DI268" s="371"/>
      <c r="DJ268" s="371"/>
      <c r="DK268" s="371"/>
      <c r="DL268" s="371"/>
      <c r="DM268" s="371"/>
      <c r="DN268" s="371"/>
      <c r="DO268" s="371"/>
      <c r="DP268" s="371"/>
      <c r="DQ268" s="371"/>
      <c r="DR268" s="371"/>
    </row>
    <row r="269" spans="1:122" ht="18.75" x14ac:dyDescent="0.3">
      <c r="A269" s="371"/>
      <c r="B269" s="646"/>
      <c r="C269" s="646"/>
      <c r="D269" s="171"/>
      <c r="E269" s="268"/>
      <c r="F269" s="171"/>
      <c r="G269" s="171"/>
      <c r="H269" s="447"/>
      <c r="I269" s="444"/>
      <c r="J269" s="173"/>
      <c r="K269" s="371"/>
      <c r="L269" s="426" t="s">
        <v>546</v>
      </c>
      <c r="M269" s="644"/>
      <c r="N269" s="645"/>
      <c r="O269" s="371"/>
      <c r="P269" s="171"/>
      <c r="Q269" s="174"/>
      <c r="R269" s="607"/>
      <c r="S269" s="174"/>
      <c r="T269" s="622"/>
      <c r="U269" s="622"/>
      <c r="V269" s="647"/>
      <c r="W269" s="634"/>
      <c r="X269" s="171"/>
      <c r="Y269" s="174"/>
      <c r="Z269" s="171"/>
      <c r="AA269" s="174"/>
      <c r="AB269" s="171"/>
      <c r="AC269" s="174"/>
      <c r="AD269" s="641"/>
      <c r="AE269" s="175" t="s">
        <v>3096</v>
      </c>
      <c r="AF269" s="173" t="s">
        <v>546</v>
      </c>
      <c r="AG269" s="171"/>
      <c r="AH269" s="171"/>
      <c r="AI269" s="174"/>
      <c r="AJ269" s="171"/>
      <c r="AK269" s="174"/>
      <c r="AL269" s="173"/>
      <c r="AM269" s="174"/>
      <c r="AN269" s="645"/>
      <c r="AO269" s="371"/>
      <c r="AP269" s="171"/>
      <c r="AQ269" s="174"/>
      <c r="AR269" s="645"/>
      <c r="AS269" s="371"/>
      <c r="AT269" s="371"/>
      <c r="AU269" s="371"/>
      <c r="AV269" s="608"/>
      <c r="AW269" s="174"/>
      <c r="AX269" s="171"/>
      <c r="AY269" s="174"/>
      <c r="AZ269" s="171"/>
      <c r="BA269" s="174"/>
      <c r="BB269" s="171"/>
      <c r="BC269" s="174"/>
      <c r="BD269" s="171"/>
      <c r="BE269" s="174"/>
      <c r="BF269" s="608"/>
      <c r="BG269" s="174"/>
      <c r="BH269" s="171"/>
      <c r="BI269" s="174"/>
      <c r="BJ269" s="171"/>
      <c r="BK269" s="174"/>
      <c r="BL269" s="171"/>
      <c r="BM269" s="444"/>
      <c r="BN269" s="371"/>
      <c r="BO269" s="371"/>
      <c r="BP269" s="171"/>
      <c r="BQ269" s="174"/>
      <c r="BR269" s="171"/>
      <c r="BS269" s="174"/>
      <c r="BT269" s="171"/>
      <c r="BU269" s="174"/>
      <c r="BV269" s="171"/>
      <c r="BW269" s="174"/>
      <c r="BX269" s="648"/>
      <c r="BY269" s="371"/>
      <c r="BZ269" s="171"/>
      <c r="CA269" s="174"/>
      <c r="CB269" s="171"/>
      <c r="CC269" s="174"/>
      <c r="CD269" s="371"/>
      <c r="CE269" s="371"/>
      <c r="CF269" s="171"/>
      <c r="CG269" s="174"/>
      <c r="CH269" s="171"/>
      <c r="CI269" s="174"/>
      <c r="CJ269" s="171"/>
      <c r="CK269" s="174"/>
      <c r="CL269" s="171"/>
      <c r="CM269" s="174"/>
      <c r="CN269" s="171"/>
      <c r="CO269" s="174"/>
      <c r="CP269" s="171"/>
      <c r="CQ269" s="174"/>
      <c r="CR269" s="171"/>
      <c r="CS269" s="174"/>
      <c r="CT269" s="447"/>
      <c r="CU269" s="444"/>
      <c r="CV269" s="171"/>
      <c r="CW269" s="174"/>
      <c r="CX269" s="174"/>
      <c r="CY269" s="174"/>
      <c r="CZ269" s="645"/>
      <c r="DA269" s="371"/>
      <c r="DB269" s="371"/>
      <c r="DC269" s="371"/>
      <c r="DD269" s="371"/>
      <c r="DE269" s="371"/>
      <c r="DF269" s="371"/>
      <c r="DG269" s="371"/>
      <c r="DH269" s="371"/>
      <c r="DI269" s="371"/>
      <c r="DJ269" s="371"/>
      <c r="DK269" s="371"/>
      <c r="DL269" s="371"/>
      <c r="DM269" s="371"/>
      <c r="DN269" s="371"/>
      <c r="DO269" s="371"/>
      <c r="DP269" s="371"/>
      <c r="DQ269" s="371"/>
      <c r="DR269" s="371"/>
    </row>
    <row r="270" spans="1:122" ht="18.75" x14ac:dyDescent="0.3">
      <c r="A270" s="136"/>
      <c r="B270" s="136"/>
      <c r="C270" s="136"/>
      <c r="D270" s="343"/>
      <c r="E270" s="266"/>
      <c r="F270" s="343"/>
      <c r="G270" s="343"/>
      <c r="H270" s="343"/>
      <c r="I270" s="649"/>
      <c r="J270" s="343"/>
      <c r="K270" s="136"/>
      <c r="L270" s="650"/>
      <c r="M270" s="351"/>
      <c r="N270" s="343"/>
      <c r="O270" s="136"/>
      <c r="P270" s="343"/>
      <c r="Q270" s="351"/>
      <c r="R270" s="343"/>
      <c r="S270" s="351"/>
      <c r="T270" s="343"/>
      <c r="U270" s="651"/>
      <c r="V270" s="343"/>
      <c r="W270" s="351"/>
      <c r="X270" s="343"/>
      <c r="Y270" s="351"/>
      <c r="Z270" s="343"/>
      <c r="AA270" s="351"/>
      <c r="AB270" s="343"/>
      <c r="AC270" s="351"/>
      <c r="AD270" s="343"/>
      <c r="AE270" s="343"/>
      <c r="AF270" s="343"/>
      <c r="AG270" s="343"/>
      <c r="AH270" s="343"/>
      <c r="AI270" s="351"/>
      <c r="AJ270" s="343"/>
      <c r="AK270" s="351"/>
      <c r="AL270" s="351"/>
      <c r="AM270" s="351"/>
      <c r="AN270" s="343"/>
      <c r="AO270" s="136"/>
      <c r="AP270" s="351"/>
      <c r="AQ270" s="351"/>
      <c r="AR270" s="343"/>
      <c r="AS270" s="136"/>
      <c r="AT270" s="343"/>
      <c r="AU270" s="136"/>
      <c r="AV270" s="351"/>
      <c r="AW270" s="351"/>
      <c r="AX270" s="351"/>
      <c r="AY270" s="652"/>
      <c r="AZ270" s="351"/>
      <c r="BA270" s="351"/>
      <c r="BB270" s="351"/>
      <c r="BC270" s="351"/>
      <c r="BD270" s="351"/>
      <c r="BE270" s="351"/>
      <c r="BF270" s="351"/>
      <c r="BG270" s="351"/>
      <c r="BH270" s="351"/>
      <c r="BI270" s="351"/>
      <c r="BJ270" s="351"/>
      <c r="BK270" s="351"/>
      <c r="BL270" s="351"/>
      <c r="BM270" s="351"/>
      <c r="BN270" s="343"/>
      <c r="BO270" s="136"/>
      <c r="BP270" s="351"/>
      <c r="BQ270" s="351"/>
      <c r="BR270" s="351"/>
      <c r="BS270" s="351"/>
      <c r="BT270" s="351"/>
      <c r="BU270" s="351"/>
      <c r="BV270" s="351"/>
      <c r="BW270" s="174"/>
      <c r="BX270" s="136"/>
      <c r="BY270" s="136"/>
      <c r="BZ270" s="351"/>
      <c r="CA270" s="351"/>
      <c r="CB270" s="351"/>
      <c r="CC270" s="351"/>
      <c r="CD270" s="136"/>
      <c r="CE270" s="136"/>
      <c r="CF270" s="351"/>
      <c r="CG270" s="351"/>
      <c r="CH270" s="351"/>
      <c r="CI270" s="351"/>
      <c r="CJ270" s="351"/>
      <c r="CK270" s="351"/>
      <c r="CL270" s="351"/>
      <c r="CM270" s="351"/>
      <c r="CN270" s="351"/>
      <c r="CO270" s="351"/>
      <c r="CP270" s="351"/>
      <c r="CQ270" s="351"/>
      <c r="CR270" s="351"/>
      <c r="CS270" s="351"/>
      <c r="CT270" s="351"/>
      <c r="CU270" s="351"/>
      <c r="CV270" s="351"/>
      <c r="CW270" s="351"/>
      <c r="CX270" s="351"/>
      <c r="CY270" s="351"/>
      <c r="CZ270" s="351"/>
      <c r="DA270" s="351"/>
      <c r="DB270" s="136"/>
      <c r="DC270" s="136"/>
      <c r="DD270" s="136"/>
      <c r="DE270" s="136"/>
      <c r="DF270" s="136"/>
      <c r="DG270" s="136"/>
      <c r="DH270" s="136"/>
      <c r="DI270" s="136"/>
      <c r="DJ270" s="136"/>
      <c r="DK270" s="136"/>
      <c r="DL270" s="136"/>
      <c r="DM270" s="136"/>
      <c r="DN270" s="136"/>
      <c r="DO270" s="136"/>
      <c r="DP270" s="136"/>
      <c r="DQ270" s="136"/>
      <c r="DR270" s="136"/>
    </row>
    <row r="271" spans="1:122" ht="18.75" x14ac:dyDescent="0.3">
      <c r="A271" s="136"/>
      <c r="B271" s="136"/>
      <c r="C271" s="136"/>
      <c r="D271" s="343"/>
      <c r="E271" s="266"/>
      <c r="F271" s="343"/>
      <c r="G271" s="343"/>
      <c r="H271" s="343"/>
      <c r="I271" s="649"/>
      <c r="J271" s="343"/>
      <c r="K271" s="136"/>
      <c r="L271" s="650"/>
      <c r="M271" s="351"/>
      <c r="N271" s="343"/>
      <c r="O271" s="136"/>
      <c r="P271" s="343"/>
      <c r="Q271" s="351"/>
      <c r="R271" s="343"/>
      <c r="S271" s="351"/>
      <c r="T271" s="343"/>
      <c r="U271" s="651"/>
      <c r="V271" s="343"/>
      <c r="W271" s="351"/>
      <c r="X271" s="343"/>
      <c r="Y271" s="351"/>
      <c r="Z271" s="343"/>
      <c r="AA271" s="351"/>
      <c r="AB271" s="343"/>
      <c r="AC271" s="351"/>
      <c r="AD271" s="343"/>
      <c r="AE271" s="343"/>
      <c r="AF271" s="343"/>
      <c r="AG271" s="343"/>
      <c r="AH271" s="343"/>
      <c r="AI271" s="351"/>
      <c r="AJ271" s="343"/>
      <c r="AK271" s="351"/>
      <c r="AL271" s="351"/>
      <c r="AM271" s="351"/>
      <c r="AN271" s="343"/>
      <c r="AO271" s="136"/>
      <c r="AP271" s="351"/>
      <c r="AQ271" s="351"/>
      <c r="AR271" s="343"/>
      <c r="AS271" s="136"/>
      <c r="AT271" s="343"/>
      <c r="AU271" s="136"/>
      <c r="AV271" s="351"/>
      <c r="AW271" s="351"/>
      <c r="AX271" s="351"/>
      <c r="AY271" s="652"/>
      <c r="AZ271" s="351"/>
      <c r="BA271" s="351"/>
      <c r="BB271" s="351"/>
      <c r="BC271" s="351"/>
      <c r="BD271" s="351"/>
      <c r="BE271" s="351"/>
      <c r="BF271" s="351"/>
      <c r="BG271" s="351"/>
      <c r="BH271" s="351"/>
      <c r="BI271" s="351"/>
      <c r="BJ271" s="351"/>
      <c r="BK271" s="351"/>
      <c r="BL271" s="351"/>
      <c r="BM271" s="351"/>
      <c r="BN271" s="343"/>
      <c r="BO271" s="136"/>
      <c r="BP271" s="351"/>
      <c r="BQ271" s="351"/>
      <c r="BR271" s="351"/>
      <c r="BS271" s="351"/>
      <c r="BT271" s="351"/>
      <c r="BU271" s="351"/>
      <c r="BV271" s="351"/>
      <c r="BW271" s="174"/>
      <c r="BX271" s="136"/>
      <c r="BY271" s="136"/>
      <c r="BZ271" s="351"/>
      <c r="CA271" s="351"/>
      <c r="CB271" s="351"/>
      <c r="CC271" s="351"/>
      <c r="CD271" s="136"/>
      <c r="CE271" s="136"/>
      <c r="CF271" s="351"/>
      <c r="CG271" s="351"/>
      <c r="CH271" s="351"/>
      <c r="CI271" s="351"/>
      <c r="CJ271" s="351"/>
      <c r="CK271" s="351"/>
      <c r="CL271" s="351"/>
      <c r="CM271" s="351"/>
      <c r="CN271" s="351"/>
      <c r="CO271" s="351"/>
      <c r="CP271" s="351"/>
      <c r="CQ271" s="351"/>
      <c r="CR271" s="351"/>
      <c r="CS271" s="351"/>
      <c r="CT271" s="351"/>
      <c r="CU271" s="351"/>
      <c r="CV271" s="351"/>
      <c r="CW271" s="351"/>
      <c r="CX271" s="351"/>
      <c r="CY271" s="351"/>
      <c r="CZ271" s="351"/>
      <c r="DA271" s="351"/>
      <c r="DB271" s="136"/>
      <c r="DC271" s="136"/>
      <c r="DD271" s="136"/>
      <c r="DE271" s="136"/>
      <c r="DF271" s="136"/>
      <c r="DG271" s="136"/>
      <c r="DH271" s="136"/>
      <c r="DI271" s="136"/>
      <c r="DJ271" s="136"/>
      <c r="DK271" s="136"/>
      <c r="DL271" s="136"/>
      <c r="DM271" s="136"/>
      <c r="DN271" s="136"/>
      <c r="DO271" s="136"/>
      <c r="DP271" s="136"/>
      <c r="DQ271" s="136"/>
      <c r="DR271" s="136"/>
    </row>
    <row r="272" spans="1:122" ht="18.75" x14ac:dyDescent="0.3">
      <c r="A272" s="136"/>
      <c r="B272" s="136"/>
      <c r="C272" s="136"/>
      <c r="D272" s="343"/>
      <c r="E272" s="266"/>
      <c r="F272" s="343"/>
      <c r="G272" s="343"/>
      <c r="H272" s="343"/>
      <c r="I272" s="649"/>
      <c r="J272" s="343"/>
      <c r="K272" s="136"/>
      <c r="L272" s="650"/>
      <c r="M272" s="653"/>
      <c r="N272" s="343"/>
      <c r="O272" s="136"/>
      <c r="P272" s="654"/>
      <c r="Q272" s="655"/>
      <c r="R272" s="654"/>
      <c r="S272" s="351"/>
      <c r="T272" s="656"/>
      <c r="U272" s="651"/>
      <c r="V272" s="656"/>
      <c r="W272" s="657"/>
      <c r="X272" s="656"/>
      <c r="Y272" s="351"/>
      <c r="Z272" s="656"/>
      <c r="AA272" s="351"/>
      <c r="AB272" s="656"/>
      <c r="AC272" s="351"/>
      <c r="AD272" s="656"/>
      <c r="AE272" s="343"/>
      <c r="AF272" s="656"/>
      <c r="AG272" s="343"/>
      <c r="AH272" s="656"/>
      <c r="AI272" s="351"/>
      <c r="AJ272" s="656"/>
      <c r="AK272" s="653"/>
      <c r="AL272" s="657"/>
      <c r="AM272" s="351"/>
      <c r="AN272" s="343"/>
      <c r="AO272" s="136"/>
      <c r="AP272" s="657"/>
      <c r="AQ272" s="351"/>
      <c r="AR272" s="343"/>
      <c r="AS272" s="136"/>
      <c r="AT272" s="343"/>
      <c r="AU272" s="136"/>
      <c r="AV272" s="657"/>
      <c r="AW272" s="351"/>
      <c r="AX272" s="657"/>
      <c r="AY272" s="658"/>
      <c r="AZ272" s="657"/>
      <c r="BA272" s="653"/>
      <c r="BB272" s="657"/>
      <c r="BC272" s="351"/>
      <c r="BD272" s="657"/>
      <c r="BE272" s="653"/>
      <c r="BF272" s="657"/>
      <c r="BG272" s="351"/>
      <c r="BH272" s="657"/>
      <c r="BI272" s="351"/>
      <c r="BJ272" s="657"/>
      <c r="BK272" s="351"/>
      <c r="BL272" s="657"/>
      <c r="BM272" s="351"/>
      <c r="BN272" s="343"/>
      <c r="BO272" s="136"/>
      <c r="BP272" s="657"/>
      <c r="BQ272" s="659"/>
      <c r="BR272" s="657"/>
      <c r="BS272" s="351"/>
      <c r="BT272" s="657"/>
      <c r="BU272" s="351"/>
      <c r="BV272" s="657"/>
      <c r="BW272" s="174"/>
      <c r="BX272" s="136"/>
      <c r="BY272" s="136"/>
      <c r="BZ272" s="657"/>
      <c r="CA272" s="351"/>
      <c r="CB272" s="657"/>
      <c r="CC272" s="351"/>
      <c r="CD272" s="136"/>
      <c r="CE272" s="136"/>
      <c r="CF272" s="657"/>
      <c r="CG272" s="351"/>
      <c r="CH272" s="657"/>
      <c r="CI272" s="351"/>
      <c r="CJ272" s="657"/>
      <c r="CK272" s="351"/>
      <c r="CL272" s="657"/>
      <c r="CM272" s="351"/>
      <c r="CN272" s="657"/>
      <c r="CO272" s="351"/>
      <c r="CP272" s="657"/>
      <c r="CQ272" s="351"/>
      <c r="CR272" s="657"/>
      <c r="CS272" s="351"/>
      <c r="CT272" s="657"/>
      <c r="CU272" s="351"/>
      <c r="CV272" s="657"/>
      <c r="CW272" s="660"/>
      <c r="CX272" s="657"/>
      <c r="CY272" s="660"/>
      <c r="CZ272" s="657"/>
      <c r="DA272" s="660"/>
      <c r="DB272" s="136"/>
      <c r="DC272" s="136"/>
      <c r="DD272" s="136"/>
      <c r="DE272" s="136"/>
      <c r="DF272" s="136"/>
      <c r="DG272" s="136"/>
      <c r="DH272" s="136"/>
      <c r="DI272" s="136"/>
      <c r="DJ272" s="136"/>
      <c r="DK272" s="136"/>
      <c r="DL272" s="136"/>
      <c r="DM272" s="136"/>
      <c r="DN272" s="136"/>
      <c r="DO272" s="136"/>
      <c r="DP272" s="136"/>
      <c r="DQ272" s="136"/>
      <c r="DR272" s="136"/>
    </row>
    <row r="273" spans="1:122" ht="18.75" thickBot="1" x14ac:dyDescent="0.3">
      <c r="A273" s="531"/>
      <c r="B273" s="661"/>
      <c r="C273" s="662" t="s">
        <v>3097</v>
      </c>
      <c r="D273" s="770" t="s">
        <v>743</v>
      </c>
      <c r="E273" s="770"/>
      <c r="F273" s="769" t="s">
        <v>744</v>
      </c>
      <c r="G273" s="769"/>
      <c r="H273" s="769" t="s">
        <v>745</v>
      </c>
      <c r="I273" s="769"/>
      <c r="J273" s="769" t="s">
        <v>746</v>
      </c>
      <c r="K273" s="769"/>
      <c r="L273" s="773" t="s">
        <v>747</v>
      </c>
      <c r="M273" s="773"/>
      <c r="N273" s="769" t="s">
        <v>748</v>
      </c>
      <c r="O273" s="769"/>
      <c r="P273" s="770" t="s">
        <v>749</v>
      </c>
      <c r="Q273" s="770"/>
      <c r="R273" s="769" t="s">
        <v>750</v>
      </c>
      <c r="S273" s="771"/>
      <c r="T273" s="769" t="s">
        <v>751</v>
      </c>
      <c r="U273" s="769"/>
      <c r="V273" s="770" t="s">
        <v>752</v>
      </c>
      <c r="W273" s="770"/>
      <c r="X273" s="770" t="s">
        <v>753</v>
      </c>
      <c r="Y273" s="770"/>
      <c r="Z273" s="770" t="s">
        <v>754</v>
      </c>
      <c r="AA273" s="770"/>
      <c r="AB273" s="770" t="s">
        <v>755</v>
      </c>
      <c r="AC273" s="770"/>
      <c r="AD273" s="770" t="s">
        <v>756</v>
      </c>
      <c r="AE273" s="770"/>
      <c r="AF273" s="770" t="s">
        <v>757</v>
      </c>
      <c r="AG273" s="770"/>
      <c r="AH273" s="770" t="s">
        <v>758</v>
      </c>
      <c r="AI273" s="770"/>
      <c r="AJ273" s="770" t="s">
        <v>759</v>
      </c>
      <c r="AK273" s="770"/>
      <c r="AL273" s="770" t="s">
        <v>760</v>
      </c>
      <c r="AM273" s="770"/>
      <c r="AN273" s="770" t="s">
        <v>761</v>
      </c>
      <c r="AO273" s="770"/>
      <c r="AP273" s="770" t="s">
        <v>762</v>
      </c>
      <c r="AQ273" s="770"/>
      <c r="AR273" s="770" t="s">
        <v>763</v>
      </c>
      <c r="AS273" s="770"/>
      <c r="AT273" s="770" t="s">
        <v>764</v>
      </c>
      <c r="AU273" s="770"/>
      <c r="AV273" s="776" t="s">
        <v>765</v>
      </c>
      <c r="AW273" s="776"/>
      <c r="AX273" s="776" t="s">
        <v>766</v>
      </c>
      <c r="AY273" s="776"/>
      <c r="AZ273" s="776" t="s">
        <v>767</v>
      </c>
      <c r="BA273" s="776"/>
      <c r="BB273" s="770" t="s">
        <v>768</v>
      </c>
      <c r="BC273" s="770"/>
      <c r="BD273" s="770" t="s">
        <v>769</v>
      </c>
      <c r="BE273" s="770"/>
      <c r="BF273" s="776" t="s">
        <v>770</v>
      </c>
      <c r="BG273" s="776"/>
      <c r="BH273" s="770" t="s">
        <v>771</v>
      </c>
      <c r="BI273" s="770"/>
      <c r="BJ273" s="770" t="s">
        <v>772</v>
      </c>
      <c r="BK273" s="770"/>
      <c r="BL273" s="770" t="s">
        <v>773</v>
      </c>
      <c r="BM273" s="770"/>
      <c r="BN273" s="769" t="s">
        <v>774</v>
      </c>
      <c r="BO273" s="769"/>
      <c r="BP273" s="770" t="s">
        <v>775</v>
      </c>
      <c r="BQ273" s="770"/>
      <c r="BR273" s="770" t="s">
        <v>776</v>
      </c>
      <c r="BS273" s="770"/>
      <c r="BT273" s="770" t="s">
        <v>777</v>
      </c>
      <c r="BU273" s="770"/>
      <c r="BV273" s="770" t="s">
        <v>778</v>
      </c>
      <c r="BW273" s="770"/>
      <c r="BX273" s="769" t="s">
        <v>779</v>
      </c>
      <c r="BY273" s="769"/>
      <c r="BZ273" s="770" t="s">
        <v>780</v>
      </c>
      <c r="CA273" s="770"/>
      <c r="CB273" s="770" t="s">
        <v>781</v>
      </c>
      <c r="CC273" s="770"/>
      <c r="CD273" s="769" t="s">
        <v>3098</v>
      </c>
      <c r="CE273" s="769"/>
      <c r="CF273" s="770" t="s">
        <v>783</v>
      </c>
      <c r="CG273" s="770"/>
      <c r="CH273" s="770" t="s">
        <v>784</v>
      </c>
      <c r="CI273" s="770"/>
      <c r="CJ273" s="770" t="s">
        <v>785</v>
      </c>
      <c r="CK273" s="770"/>
      <c r="CL273" s="770" t="s">
        <v>786</v>
      </c>
      <c r="CM273" s="770"/>
      <c r="CN273" s="770" t="s">
        <v>787</v>
      </c>
      <c r="CO273" s="770"/>
      <c r="CP273" s="770" t="s">
        <v>788</v>
      </c>
      <c r="CQ273" s="770"/>
      <c r="CR273" s="770" t="s">
        <v>789</v>
      </c>
      <c r="CS273" s="770"/>
      <c r="CT273" s="770" t="s">
        <v>790</v>
      </c>
      <c r="CU273" s="770"/>
      <c r="CV273" s="770" t="s">
        <v>791</v>
      </c>
      <c r="CW273" s="770"/>
      <c r="CX273" s="770" t="s">
        <v>792</v>
      </c>
      <c r="CY273" s="770"/>
      <c r="CZ273" s="770" t="s">
        <v>793</v>
      </c>
      <c r="DA273" s="770"/>
      <c r="DB273" s="531"/>
      <c r="DC273" s="531" t="s">
        <v>3099</v>
      </c>
      <c r="DD273" s="531" t="s">
        <v>3100</v>
      </c>
      <c r="DE273" s="531" t="s">
        <v>3101</v>
      </c>
      <c r="DF273" s="531"/>
      <c r="DG273" s="531"/>
      <c r="DH273" s="531"/>
      <c r="DI273" s="531"/>
      <c r="DJ273" s="531" t="s">
        <v>3102</v>
      </c>
      <c r="DK273" s="531"/>
      <c r="DL273" s="531"/>
      <c r="DM273" s="531"/>
      <c r="DN273" s="531"/>
      <c r="DO273" s="531"/>
      <c r="DP273" s="531"/>
      <c r="DQ273" s="531"/>
      <c r="DR273" s="531"/>
    </row>
    <row r="274" spans="1:122" ht="18.75" x14ac:dyDescent="0.3">
      <c r="A274" s="136"/>
      <c r="B274" s="663">
        <f>COUNT(B17:B22)</f>
        <v>5</v>
      </c>
      <c r="C274" s="664" t="s">
        <v>3103</v>
      </c>
      <c r="D274" s="266">
        <f>DCOUNT(D17:D22,1,D294:D297)</f>
        <v>0</v>
      </c>
      <c r="E274" s="266"/>
      <c r="F274" s="266">
        <f>DCOUNTA(F17:F22,1,F294:F297)</f>
        <v>0</v>
      </c>
      <c r="G274" s="343"/>
      <c r="H274" s="266">
        <f>DCOUNTA(H17:H22,1,H294:H297)</f>
        <v>2</v>
      </c>
      <c r="I274" s="649"/>
      <c r="J274" s="266">
        <f>DCOUNTA(J17:J22,1,J294:J297)</f>
        <v>1</v>
      </c>
      <c r="K274" s="136"/>
      <c r="L274" s="266">
        <f>DCOUNTA(L17:L22,1,L294:L297)</f>
        <v>0</v>
      </c>
      <c r="M274" s="653"/>
      <c r="N274" s="266">
        <f>DCOUNTA(N17:N22,1,N294:N297)</f>
        <v>0</v>
      </c>
      <c r="O274" s="136"/>
      <c r="P274" s="266">
        <f>DCOUNTA(P17:P22,1,P294:P297)</f>
        <v>2</v>
      </c>
      <c r="Q274" s="655"/>
      <c r="R274" s="266">
        <f>DCOUNTA(R17:R22,1,R294:R297)</f>
        <v>5</v>
      </c>
      <c r="S274" s="351"/>
      <c r="T274" s="266">
        <f>DCOUNTA(T17:T22,1,T294:T297)</f>
        <v>1</v>
      </c>
      <c r="U274" s="651"/>
      <c r="V274" s="266">
        <f>DCOUNTA(V17:V22,1,V294:V297)</f>
        <v>0</v>
      </c>
      <c r="W274" s="657"/>
      <c r="X274" s="266">
        <f>DCOUNTA(X17:X22,1,X294:X297)</f>
        <v>0</v>
      </c>
      <c r="Y274" s="351"/>
      <c r="Z274" s="266">
        <f>DCOUNTA(Z17:Z22,1,Z294:Z297)</f>
        <v>5</v>
      </c>
      <c r="AA274" s="351"/>
      <c r="AB274" s="266">
        <f>DCOUNTA(AB17:AB22,1,AB294:AB297)</f>
        <v>0</v>
      </c>
      <c r="AC274" s="351"/>
      <c r="AD274" s="266">
        <f>DCOUNTA(AD17:AD22,1,AD294:AD297)</f>
        <v>0</v>
      </c>
      <c r="AE274" s="343"/>
      <c r="AF274" s="266">
        <f>DCOUNTA(AF17:AF22,1,AF294:AF297)</f>
        <v>1</v>
      </c>
      <c r="AG274" s="343"/>
      <c r="AH274" s="266">
        <f>DCOUNTA(AH17:AH22,1,AH294:AH297)</f>
        <v>2</v>
      </c>
      <c r="AI274" s="351"/>
      <c r="AJ274" s="266">
        <f>DCOUNTA(AJ17:AJ22,1,AJ294:AJ297)</f>
        <v>2</v>
      </c>
      <c r="AK274" s="653"/>
      <c r="AL274" s="188">
        <f>DCOUNTA(AL17:AL22,1,AL294:AL297)</f>
        <v>0</v>
      </c>
      <c r="AM274" s="351"/>
      <c r="AN274" s="266">
        <f>DCOUNTA(AN17:AN22,1,AN294:AN297)</f>
        <v>0</v>
      </c>
      <c r="AO274" s="136"/>
      <c r="AP274" s="188">
        <f>DCOUNTA(AP17:AP22,1,AP294:AP297)</f>
        <v>0</v>
      </c>
      <c r="AQ274" s="351"/>
      <c r="AR274" s="266">
        <f>DCOUNTA(AR17:AR22,1,AR294:AR297)</f>
        <v>0</v>
      </c>
      <c r="AS274" s="136"/>
      <c r="AT274" s="266">
        <f>DCOUNTA(AT17:AT22,1,AT294:AT297)</f>
        <v>0</v>
      </c>
      <c r="AU274" s="136"/>
      <c r="AV274" s="188">
        <f>DCOUNTA(AV17:AV22,1,AV294:AV297)</f>
        <v>0</v>
      </c>
      <c r="AW274" s="351"/>
      <c r="AX274" s="188">
        <f>DCOUNTA(AX17:AX22,1,AX294:AX297)</f>
        <v>2</v>
      </c>
      <c r="AY274" s="658"/>
      <c r="AZ274" s="188">
        <f>DCOUNTA(AZ17:AZ22,1,AZ294:AZ297)</f>
        <v>2</v>
      </c>
      <c r="BA274" s="653"/>
      <c r="BB274" s="188">
        <f>DCOUNTA(BB17:BB22,1,BB294:BB297)</f>
        <v>0</v>
      </c>
      <c r="BC274" s="351"/>
      <c r="BD274" s="188">
        <f>DCOUNTA(BD17:BD22,1,BD294:BD297)</f>
        <v>0</v>
      </c>
      <c r="BE274" s="653"/>
      <c r="BF274" s="188">
        <f>DCOUNTA(BF17:BF22,1,BF294:BF297)</f>
        <v>2</v>
      </c>
      <c r="BG274" s="351"/>
      <c r="BH274" s="188">
        <f>DCOUNTA(BH17:BH22,1,BH294:BH297)</f>
        <v>0</v>
      </c>
      <c r="BI274" s="351"/>
      <c r="BJ274" s="188">
        <f>DCOUNTA(BJ17:BJ22,1,BJ294:BJ297)</f>
        <v>0</v>
      </c>
      <c r="BK274" s="351"/>
      <c r="BL274" s="188">
        <f>DCOUNTA(BL17:BL22,1,BL294:BL297)</f>
        <v>3</v>
      </c>
      <c r="BM274" s="351"/>
      <c r="BN274" s="266">
        <f>DCOUNTA(BN17:BN22,1,BN294:BN297)</f>
        <v>3</v>
      </c>
      <c r="BO274" s="136"/>
      <c r="BP274" s="188">
        <f>DCOUNTA(BP17:BP22,1,BP294:BP297)</f>
        <v>3</v>
      </c>
      <c r="BQ274" s="659"/>
      <c r="BR274" s="188">
        <f>DCOUNTA(BR17:BR22,1,BR294:BR297)</f>
        <v>0</v>
      </c>
      <c r="BS274" s="351"/>
      <c r="BT274" s="188">
        <f>DCOUNTA(BT17:BT22,1,BT294:BT297)</f>
        <v>0</v>
      </c>
      <c r="BU274" s="351"/>
      <c r="BV274" s="188">
        <f>DCOUNTA(BV17:BV22,1,BV294:BV297)</f>
        <v>1</v>
      </c>
      <c r="BW274" s="174"/>
      <c r="BX274" s="266">
        <f>DCOUNTA(BX17:BX22,1,BX294:BX297)</f>
        <v>0</v>
      </c>
      <c r="BY274" s="136"/>
      <c r="BZ274" s="188">
        <f>DCOUNTA(BZ17:BZ22,1,BZ294:BZ297)</f>
        <v>0</v>
      </c>
      <c r="CA274" s="351"/>
      <c r="CB274" s="188">
        <f>DCOUNTA(CB17:CB22,1,CB294:CB297)</f>
        <v>2</v>
      </c>
      <c r="CC274" s="351"/>
      <c r="CD274" s="266">
        <f>DCOUNTA(CD17:CD22,1,CD294:CD297)</f>
        <v>1</v>
      </c>
      <c r="CE274" s="136"/>
      <c r="CF274" s="188">
        <f>DCOUNTA(CF17:CF22,1,CF294:CF297)</f>
        <v>0</v>
      </c>
      <c r="CG274" s="351"/>
      <c r="CH274" s="188">
        <f>DCOUNTA(CH17:CH22,1,CH294:CH297)</f>
        <v>4</v>
      </c>
      <c r="CI274" s="351"/>
      <c r="CJ274" s="188">
        <f>DCOUNTA(CJ17:CJ22,1,CJ294:CJ297)</f>
        <v>1</v>
      </c>
      <c r="CK274" s="351"/>
      <c r="CL274" s="188">
        <f>DCOUNTA(CL17:CL22,1,CL294:CL297)</f>
        <v>2</v>
      </c>
      <c r="CM274" s="351"/>
      <c r="CN274" s="188">
        <f>DCOUNTA(CN17:CN22,1,CN294:CN297)</f>
        <v>1</v>
      </c>
      <c r="CO274" s="351"/>
      <c r="CP274" s="188">
        <f>DCOUNTA(CP17:CP22,1,CP294:CP297)</f>
        <v>0</v>
      </c>
      <c r="CQ274" s="351"/>
      <c r="CR274" s="188">
        <f>DCOUNTA(CR17:CR22,1,CR294:CR297)</f>
        <v>0</v>
      </c>
      <c r="CS274" s="351"/>
      <c r="CT274" s="188">
        <f>DCOUNTA(CT17:CT22,1,CT294:CT297)</f>
        <v>5</v>
      </c>
      <c r="CU274" s="351"/>
      <c r="CV274" s="188">
        <f>DCOUNTA(CV17:CV22,1,CV294:CV297)</f>
        <v>3</v>
      </c>
      <c r="CW274" s="660"/>
      <c r="CX274" s="188">
        <f>DCOUNTA(CX17:CX22,1,CX294:CX297)</f>
        <v>3</v>
      </c>
      <c r="CY274" s="660"/>
      <c r="CZ274" s="188">
        <f>DCOUNTA(CZ17:CZ22,1,CZ294:CZ297)</f>
        <v>0</v>
      </c>
      <c r="DA274" s="660"/>
      <c r="DB274" s="136"/>
      <c r="DC274" s="136">
        <f>+BX274</f>
        <v>0</v>
      </c>
      <c r="DD274" s="136">
        <f>MEDIAN(D274:BV274,BZ274:CZ274)</f>
        <v>0.5</v>
      </c>
      <c r="DE274" s="136" t="s">
        <v>3104</v>
      </c>
      <c r="DF274" s="136"/>
      <c r="DG274" s="136"/>
      <c r="DH274" s="136"/>
      <c r="DI274" s="136"/>
      <c r="DJ274" s="136"/>
      <c r="DK274" s="136"/>
      <c r="DL274" s="136"/>
      <c r="DM274" s="136"/>
      <c r="DN274" s="136"/>
      <c r="DO274" s="136"/>
      <c r="DP274" s="136"/>
      <c r="DQ274" s="136"/>
      <c r="DR274" s="136"/>
    </row>
    <row r="275" spans="1:122" ht="18.75" x14ac:dyDescent="0.3">
      <c r="A275" s="136"/>
      <c r="B275" s="663">
        <f>COUNT(B24:B28)</f>
        <v>4</v>
      </c>
      <c r="C275" s="664" t="s">
        <v>3105</v>
      </c>
      <c r="D275" s="266">
        <f>DCOUNT(D24:D28,1,D294:D297)</f>
        <v>0</v>
      </c>
      <c r="E275" s="266"/>
      <c r="F275" s="266">
        <f>DCOUNTA(F24:F28,1,F294:F297)</f>
        <v>0</v>
      </c>
      <c r="G275" s="343"/>
      <c r="H275" s="266">
        <f>DCOUNTA(H24:H28,1,H294:H297)</f>
        <v>0</v>
      </c>
      <c r="I275" s="649"/>
      <c r="J275" s="266">
        <f>DCOUNTA(J24:J28,1,J294:J297)</f>
        <v>2</v>
      </c>
      <c r="K275" s="136"/>
      <c r="L275" s="266">
        <f>DCOUNTA(L24:L28,1,L294:L297)</f>
        <v>1</v>
      </c>
      <c r="M275" s="653"/>
      <c r="N275" s="266">
        <f>DCOUNTA(N24:N28,1,N294:N297)</f>
        <v>0</v>
      </c>
      <c r="O275" s="136"/>
      <c r="P275" s="266">
        <f>DCOUNTA(P24:P28,1,P294:P297)</f>
        <v>4</v>
      </c>
      <c r="Q275" s="655"/>
      <c r="R275" s="266">
        <f>DCOUNTA(R24:R28,1,R294:R297)</f>
        <v>4</v>
      </c>
      <c r="S275" s="351"/>
      <c r="T275" s="266">
        <f>DCOUNTA(T24:T28,1,T294:T297)</f>
        <v>1</v>
      </c>
      <c r="U275" s="651"/>
      <c r="V275" s="266">
        <f>DCOUNTA(V24:V28,1,V294:V297)</f>
        <v>0</v>
      </c>
      <c r="W275" s="657"/>
      <c r="X275" s="266">
        <f>DCOUNTA(X24:X28,1,X294:X297)</f>
        <v>0</v>
      </c>
      <c r="Y275" s="351"/>
      <c r="Z275" s="266">
        <f>DCOUNTA(Z24:Z28,1,Z294:Z297)</f>
        <v>4</v>
      </c>
      <c r="AA275" s="351"/>
      <c r="AB275" s="266">
        <f>DCOUNTA(AB24:AB28,1,AB294:AB297)</f>
        <v>1</v>
      </c>
      <c r="AC275" s="351"/>
      <c r="AD275" s="266">
        <f>DCOUNTA(AD24:AD28,1,AD294:AD297)</f>
        <v>0</v>
      </c>
      <c r="AE275" s="343"/>
      <c r="AF275" s="266">
        <f>DCOUNTA(AF24:AF28,1,AF294:AF297)</f>
        <v>0</v>
      </c>
      <c r="AG275" s="343"/>
      <c r="AH275" s="266">
        <f>DCOUNTA(AH24:AH28,1,AH294:AH297)</f>
        <v>0</v>
      </c>
      <c r="AI275" s="351"/>
      <c r="AJ275" s="266">
        <f>DCOUNTA(AJ24:AJ28,1,AJ294:AJ297)</f>
        <v>2</v>
      </c>
      <c r="AK275" s="653"/>
      <c r="AL275" s="188">
        <f>DCOUNTA(AL24:AL28,1,AL294:AL297)</f>
        <v>0</v>
      </c>
      <c r="AM275" s="351"/>
      <c r="AN275" s="266">
        <f>DCOUNTA(AN24:AN28,1,AN294:AN297)</f>
        <v>1</v>
      </c>
      <c r="AO275" s="136"/>
      <c r="AP275" s="188">
        <f>DCOUNTA(AP24:AP28,1,AP294:AP297)</f>
        <v>0</v>
      </c>
      <c r="AQ275" s="351"/>
      <c r="AR275" s="266">
        <f>DCOUNTA(AR24:AR28,1,AR294:AR297)</f>
        <v>0</v>
      </c>
      <c r="AS275" s="136"/>
      <c r="AT275" s="266">
        <f>DCOUNTA(AT24:AT28,1,AT294:AT297)</f>
        <v>0</v>
      </c>
      <c r="AU275" s="136"/>
      <c r="AV275" s="188">
        <f>DCOUNTA(AV24:AV28,1,AV294:AV297)</f>
        <v>1</v>
      </c>
      <c r="AW275" s="351"/>
      <c r="AX275" s="188">
        <f>DCOUNTA(AX24:AX28,1,AX294:AX297)</f>
        <v>1</v>
      </c>
      <c r="AY275" s="658"/>
      <c r="AZ275" s="188">
        <f>DCOUNTA(AZ24:AZ28,1,AZ294:AZ297)</f>
        <v>3</v>
      </c>
      <c r="BA275" s="653"/>
      <c r="BB275" s="188">
        <f>DCOUNTA(BB24:BB28,1,BB294:BB297)</f>
        <v>0</v>
      </c>
      <c r="BC275" s="351"/>
      <c r="BD275" s="188">
        <f>DCOUNTA(BD24:BD28,1,BD294:BD297)</f>
        <v>0</v>
      </c>
      <c r="BE275" s="653"/>
      <c r="BF275" s="188">
        <f>DCOUNTA(BF24:BF28,1,BF294:BF297)</f>
        <v>1</v>
      </c>
      <c r="BG275" s="351"/>
      <c r="BH275" s="188">
        <f>DCOUNTA(BH24:BH28,1,BH294:BH297)</f>
        <v>0</v>
      </c>
      <c r="BI275" s="351"/>
      <c r="BJ275" s="188">
        <f>DCOUNTA(BJ24:BJ28,1,BJ294:BJ297)</f>
        <v>0</v>
      </c>
      <c r="BK275" s="351"/>
      <c r="BL275" s="188">
        <f>DCOUNTA(BL24:BL28,1,BL294:BL297)</f>
        <v>0</v>
      </c>
      <c r="BM275" s="351"/>
      <c r="BN275" s="266">
        <f>DCOUNTA(BN24:BN28,1,BN294:BN297)</f>
        <v>4</v>
      </c>
      <c r="BO275" s="136"/>
      <c r="BP275" s="188">
        <f>DCOUNTA(BP24:BP28,1,BP294:BP297)</f>
        <v>0</v>
      </c>
      <c r="BQ275" s="659"/>
      <c r="BR275" s="188">
        <f>DCOUNTA(BR24:BR28,1,BR294:BR297)</f>
        <v>1</v>
      </c>
      <c r="BS275" s="351"/>
      <c r="BT275" s="188">
        <f>DCOUNTA(BT24:BT28,1,BT294:BT297)</f>
        <v>0</v>
      </c>
      <c r="BU275" s="351"/>
      <c r="BV275" s="188">
        <f>DCOUNTA(BV24:BV28,1,BV294:BV297)</f>
        <v>1</v>
      </c>
      <c r="BW275" s="174"/>
      <c r="BX275" s="266">
        <f>DCOUNTA(BX24:BX28,1,BX294:BX297)</f>
        <v>0</v>
      </c>
      <c r="BY275" s="136"/>
      <c r="BZ275" s="188">
        <f>DCOUNTA(BZ24:BZ28,1,BZ294:BZ297)</f>
        <v>0</v>
      </c>
      <c r="CA275" s="351"/>
      <c r="CB275" s="188">
        <f>DCOUNTA(CB24:CB28,1,CB294:CB297)</f>
        <v>0</v>
      </c>
      <c r="CC275" s="351"/>
      <c r="CD275" s="266">
        <f>DCOUNTA(CD24:CD28,1,CD294:CD297)</f>
        <v>0</v>
      </c>
      <c r="CE275" s="136"/>
      <c r="CF275" s="188">
        <f>DCOUNTA(CF24:CF28,1,CF294:CF297)</f>
        <v>0</v>
      </c>
      <c r="CG275" s="351"/>
      <c r="CH275" s="188">
        <f>DCOUNTA(CH24:CH28,1,CH294:CH297)</f>
        <v>4</v>
      </c>
      <c r="CI275" s="351"/>
      <c r="CJ275" s="188">
        <f>DCOUNTA(CJ24:CJ28,1,CJ294:CJ297)</f>
        <v>0</v>
      </c>
      <c r="CK275" s="351"/>
      <c r="CL275" s="188">
        <f>DCOUNTA(CL24:CL28,1,CL294:CL297)</f>
        <v>2</v>
      </c>
      <c r="CM275" s="351"/>
      <c r="CN275" s="188">
        <f>DCOUNTA(CN24:CN28,1,CN294:CN297)</f>
        <v>2</v>
      </c>
      <c r="CO275" s="351"/>
      <c r="CP275" s="188">
        <f>DCOUNTA(CP24:CP28,1,CP294:CP297)</f>
        <v>0</v>
      </c>
      <c r="CQ275" s="351"/>
      <c r="CR275" s="188">
        <f>DCOUNTA(CR24:CR28,1,CR294:CR297)</f>
        <v>1</v>
      </c>
      <c r="CS275" s="351"/>
      <c r="CT275" s="188">
        <f>DCOUNTA(CT24:CT28,1,CT294:CT297)</f>
        <v>4</v>
      </c>
      <c r="CU275" s="351"/>
      <c r="CV275" s="188">
        <f>DCOUNTA(CV24:CV28,1,CV294:CV297)</f>
        <v>1</v>
      </c>
      <c r="CW275" s="660"/>
      <c r="CX275" s="188">
        <f>DCOUNTA(CX24:CX28,1,CX294:CX297)</f>
        <v>1</v>
      </c>
      <c r="CY275" s="660"/>
      <c r="CZ275" s="188">
        <f>DCOUNTA(CZ24:CZ28,1,CZ294:CZ297)</f>
        <v>1</v>
      </c>
      <c r="DA275" s="660"/>
      <c r="DB275" s="136"/>
      <c r="DC275" s="136">
        <f t="shared" ref="DC275:DC291" si="24">+BX275</f>
        <v>0</v>
      </c>
      <c r="DD275" s="136">
        <f t="shared" ref="DD275:DD291" si="25">MEDIAN(D275:BV275,BZ275:CZ275)</f>
        <v>0</v>
      </c>
      <c r="DE275" s="136"/>
      <c r="DF275" s="136"/>
      <c r="DG275" s="136"/>
      <c r="DH275" s="136"/>
      <c r="DI275" s="136"/>
      <c r="DJ275" s="136"/>
      <c r="DK275" s="136"/>
      <c r="DL275" s="136"/>
      <c r="DM275" s="136"/>
      <c r="DN275" s="136"/>
      <c r="DO275" s="136"/>
      <c r="DP275" s="136"/>
      <c r="DQ275" s="136"/>
      <c r="DR275" s="136"/>
    </row>
    <row r="276" spans="1:122" ht="18.75" x14ac:dyDescent="0.3">
      <c r="A276" s="136"/>
      <c r="B276" s="663">
        <f>COUNT(B30:B34)</f>
        <v>4</v>
      </c>
      <c r="C276" s="664" t="s">
        <v>3106</v>
      </c>
      <c r="D276" s="266">
        <f>DCOUNT(D30:D34,,D294:D297)</f>
        <v>0</v>
      </c>
      <c r="E276" s="266"/>
      <c r="F276" s="266">
        <f>DCOUNTA(F30:F34,,F294:F297)</f>
        <v>0</v>
      </c>
      <c r="G276" s="343"/>
      <c r="H276" s="266">
        <f>DCOUNTA(H30:H34,,H294:H297)</f>
        <v>0</v>
      </c>
      <c r="I276" s="649"/>
      <c r="J276" s="266">
        <f>DCOUNTA(J30:J34,,J294:J297)</f>
        <v>4</v>
      </c>
      <c r="K276" s="136"/>
      <c r="L276" s="266">
        <f>DCOUNTA(L30:L34,,L294:L297)</f>
        <v>0</v>
      </c>
      <c r="M276" s="653"/>
      <c r="N276" s="266">
        <f>DCOUNTA(N30:N34,,N294:N297)</f>
        <v>0</v>
      </c>
      <c r="O276" s="136"/>
      <c r="P276" s="266">
        <f>DCOUNTA(P30:P34,,P294:P297)</f>
        <v>4</v>
      </c>
      <c r="Q276" s="655"/>
      <c r="R276" s="266">
        <f>DCOUNTA(R30:R34,,R294:R297)</f>
        <v>4</v>
      </c>
      <c r="S276" s="351"/>
      <c r="T276" s="266">
        <f>DCOUNTA(T30:T34,,T294:T297)</f>
        <v>0</v>
      </c>
      <c r="U276" s="651"/>
      <c r="V276" s="266">
        <f>DCOUNTA(V30:V34,,V294:V297)</f>
        <v>0</v>
      </c>
      <c r="W276" s="657"/>
      <c r="X276" s="266">
        <f>DCOUNTA(X30:X34,,X294:X297)</f>
        <v>0</v>
      </c>
      <c r="Y276" s="351"/>
      <c r="Z276" s="266">
        <f>DCOUNTA(Z30:Z34,,Z294:Z297)</f>
        <v>4</v>
      </c>
      <c r="AA276" s="351"/>
      <c r="AB276" s="266">
        <f>DCOUNTA(AB30:AB34,,AB294:AB297)</f>
        <v>0</v>
      </c>
      <c r="AC276" s="351"/>
      <c r="AD276" s="266">
        <f>DCOUNTA(AD30:AD34,,AD294:AD297)</f>
        <v>0</v>
      </c>
      <c r="AE276" s="343"/>
      <c r="AF276" s="266">
        <f>DCOUNTA(AF30:AF34,,AF294:AF297)</f>
        <v>0</v>
      </c>
      <c r="AG276" s="343"/>
      <c r="AH276" s="266">
        <f>DCOUNTA(AH30:AH34,,AH294:AH297)</f>
        <v>3</v>
      </c>
      <c r="AI276" s="351"/>
      <c r="AJ276" s="266">
        <f>DCOUNTA(AJ30:AJ34,,AJ294:AJ297)</f>
        <v>3</v>
      </c>
      <c r="AK276" s="653"/>
      <c r="AL276" s="188">
        <f>DCOUNTA(AL30:AL34,,AL294:AL297)</f>
        <v>0</v>
      </c>
      <c r="AM276" s="351"/>
      <c r="AN276" s="266">
        <f>DCOUNTA(AN30:AN34,,AN294:AN297)</f>
        <v>0</v>
      </c>
      <c r="AO276" s="136"/>
      <c r="AP276" s="188">
        <f>DCOUNTA(AP30:AP34,,AP294:AP297)</f>
        <v>0</v>
      </c>
      <c r="AQ276" s="351"/>
      <c r="AR276" s="266">
        <f>DCOUNTA(AR30:AR34,,AR294:AR297)</f>
        <v>0</v>
      </c>
      <c r="AS276" s="136"/>
      <c r="AT276" s="266">
        <f>DCOUNTA(AT30:AT34,,AT294:AT297)</f>
        <v>0</v>
      </c>
      <c r="AU276" s="136"/>
      <c r="AV276" s="188">
        <f>DCOUNTA(AV30:AV34,,AV294:AV297)</f>
        <v>0</v>
      </c>
      <c r="AW276" s="351"/>
      <c r="AX276" s="188">
        <f>DCOUNTA(AX30:AX34,,AX294:AX297)</f>
        <v>0</v>
      </c>
      <c r="AY276" s="658"/>
      <c r="AZ276" s="188">
        <f>DCOUNTA(AZ30:AZ34,,AZ294:AZ297)</f>
        <v>4</v>
      </c>
      <c r="BA276" s="653"/>
      <c r="BB276" s="188">
        <f>DCOUNTA(BB30:BB34,,BB294:BB297)</f>
        <v>0</v>
      </c>
      <c r="BC276" s="351"/>
      <c r="BD276" s="188">
        <f>DCOUNTA(BD30:BD34,,BD294:BD297)</f>
        <v>1</v>
      </c>
      <c r="BE276" s="653"/>
      <c r="BF276" s="188">
        <f>DCOUNTA(BF30:BF34,,BF294:BF297)</f>
        <v>0</v>
      </c>
      <c r="BG276" s="351"/>
      <c r="BH276" s="188">
        <f>DCOUNTA(BH30:BH34,,BH294:BH297)</f>
        <v>0</v>
      </c>
      <c r="BI276" s="351"/>
      <c r="BJ276" s="188">
        <f>DCOUNTA(BJ30:BJ34,,BJ294:BJ297)</f>
        <v>0</v>
      </c>
      <c r="BK276" s="351"/>
      <c r="BL276" s="188">
        <f>DCOUNTA(BL30:BL34,,BL294:BL297)</f>
        <v>1</v>
      </c>
      <c r="BM276" s="351"/>
      <c r="BN276" s="266">
        <f>DCOUNTA(BN30:BN34,,BN294:BN297)</f>
        <v>4</v>
      </c>
      <c r="BO276" s="136"/>
      <c r="BP276" s="188">
        <f>DCOUNTA(BP30:BP34,,BP294:BP297)</f>
        <v>0</v>
      </c>
      <c r="BQ276" s="659"/>
      <c r="BR276" s="188">
        <f>DCOUNTA(BR30:BR34,,BR294:BR297)</f>
        <v>1</v>
      </c>
      <c r="BS276" s="351"/>
      <c r="BT276" s="188">
        <f>DCOUNTA(BT30:BT34,,BT294:BT297)</f>
        <v>0</v>
      </c>
      <c r="BU276" s="351"/>
      <c r="BV276" s="188">
        <f>DCOUNTA(BV30:BV34,,BV294:BV297)</f>
        <v>0</v>
      </c>
      <c r="BW276" s="174"/>
      <c r="BX276" s="266">
        <f>DCOUNTA(BX30:BX34,,BX294:BX297)</f>
        <v>0</v>
      </c>
      <c r="BY276" s="136"/>
      <c r="BZ276" s="188">
        <f>DCOUNTA(BZ30:BZ34,,BZ294:BZ297)</f>
        <v>0</v>
      </c>
      <c r="CA276" s="351"/>
      <c r="CB276" s="188">
        <f>DCOUNTA(CB30:CB34,,CB294:CB297)</f>
        <v>0</v>
      </c>
      <c r="CC276" s="351"/>
      <c r="CD276" s="266">
        <f>DCOUNTA(CD30:CD34,,CD294:CD297)</f>
        <v>0</v>
      </c>
      <c r="CE276" s="136"/>
      <c r="CF276" s="188">
        <f>DCOUNTA(CF30:CF34,,CF294:CF297)</f>
        <v>0</v>
      </c>
      <c r="CG276" s="351"/>
      <c r="CH276" s="188">
        <f>DCOUNTA(CH30:CH34,,CH294:CH297)</f>
        <v>4</v>
      </c>
      <c r="CI276" s="351"/>
      <c r="CJ276" s="188">
        <f>DCOUNTA(CJ30:CJ34,,CJ294:CJ297)</f>
        <v>0</v>
      </c>
      <c r="CK276" s="351"/>
      <c r="CL276" s="188">
        <f>DCOUNTA(CL30:CL34,,CL294:CL297)</f>
        <v>3</v>
      </c>
      <c r="CM276" s="351"/>
      <c r="CN276" s="188">
        <f>DCOUNTA(CN30:CN34,,CN294:CN297)</f>
        <v>0</v>
      </c>
      <c r="CO276" s="351"/>
      <c r="CP276" s="188">
        <f>DCOUNTA(CP30:CP34,,CP294:CP297)</f>
        <v>0</v>
      </c>
      <c r="CQ276" s="351"/>
      <c r="CR276" s="188">
        <f>DCOUNTA(CR30:CR34,,CR294:CR297)</f>
        <v>0</v>
      </c>
      <c r="CS276" s="351"/>
      <c r="CT276" s="188">
        <f>DCOUNTA(CT30:CT34,,CT294:CT297)</f>
        <v>4</v>
      </c>
      <c r="CU276" s="351"/>
      <c r="CV276" s="188">
        <f>DCOUNTA(CV30:CV34,,CV294:CV297)</f>
        <v>1</v>
      </c>
      <c r="CW276" s="660"/>
      <c r="CX276" s="188">
        <f>DCOUNTA(CX30:CX34,,CX294:CX297)</f>
        <v>0</v>
      </c>
      <c r="CY276" s="660"/>
      <c r="CZ276" s="188">
        <f>DCOUNTA(CZ30:CZ34,,CZ294:CZ297)</f>
        <v>0</v>
      </c>
      <c r="DA276" s="660"/>
      <c r="DB276" s="136"/>
      <c r="DC276" s="136">
        <f t="shared" si="24"/>
        <v>0</v>
      </c>
      <c r="DD276" s="136">
        <f t="shared" si="25"/>
        <v>0</v>
      </c>
      <c r="DE276" s="136" t="s">
        <v>3107</v>
      </c>
      <c r="DF276" s="136"/>
      <c r="DG276" s="136"/>
      <c r="DH276" s="136"/>
      <c r="DI276" s="136"/>
      <c r="DJ276" s="136"/>
      <c r="DK276" s="136"/>
      <c r="DL276" s="136"/>
      <c r="DM276" s="136"/>
      <c r="DN276" s="136"/>
      <c r="DO276" s="136"/>
      <c r="DP276" s="136"/>
      <c r="DQ276" s="136"/>
      <c r="DR276" s="136"/>
    </row>
    <row r="277" spans="1:122" ht="18.75" x14ac:dyDescent="0.3">
      <c r="A277" s="136"/>
      <c r="B277" s="663">
        <f>COUNT(B55:B72)</f>
        <v>16</v>
      </c>
      <c r="C277" s="664" t="s">
        <v>3108</v>
      </c>
      <c r="D277" s="266">
        <f>DCOUNT(D55:D72,1,D294:D297)</f>
        <v>12</v>
      </c>
      <c r="E277" s="266"/>
      <c r="F277" s="266">
        <f>DCOUNTA(F55:F72,1,F294:F297)</f>
        <v>0</v>
      </c>
      <c r="G277" s="343"/>
      <c r="H277" s="266">
        <f>DCOUNTA(H55:H72,1,H294:H297)</f>
        <v>16</v>
      </c>
      <c r="I277" s="649"/>
      <c r="J277" s="266">
        <f>DCOUNTA(J55:J72,1,J294:J297)</f>
        <v>12</v>
      </c>
      <c r="K277" s="136"/>
      <c r="L277" s="266">
        <f>DCOUNTA(L55:L72,1,L294:L297)</f>
        <v>2</v>
      </c>
      <c r="M277" s="653"/>
      <c r="N277" s="266">
        <f>DCOUNTA(N55:N72,1,N294:N297)</f>
        <v>4</v>
      </c>
      <c r="O277" s="136"/>
      <c r="P277" s="266">
        <f>DCOUNTA(P55:P72,1,P294:P297)</f>
        <v>10</v>
      </c>
      <c r="Q277" s="655"/>
      <c r="R277" s="266">
        <f>DCOUNTA(R55:R72,1,R294:R297)</f>
        <v>9</v>
      </c>
      <c r="S277" s="351"/>
      <c r="T277" s="266">
        <f>DCOUNTA(T55:T72,1,T294:T297)</f>
        <v>14</v>
      </c>
      <c r="U277" s="651"/>
      <c r="V277" s="266">
        <f>DCOUNTA(V55:V72,1,V294:V297)</f>
        <v>9</v>
      </c>
      <c r="W277" s="657"/>
      <c r="X277" s="266">
        <f>DCOUNTA(X55:X72,1,X294:X297)</f>
        <v>10</v>
      </c>
      <c r="Y277" s="351"/>
      <c r="Z277" s="266">
        <f>DCOUNTA(Z55:Z72,1,Z294:Z297)</f>
        <v>16</v>
      </c>
      <c r="AA277" s="351"/>
      <c r="AB277" s="266">
        <f>DCOUNTA(AB55:AB72,1,AB294:AB297)</f>
        <v>0</v>
      </c>
      <c r="AC277" s="351"/>
      <c r="AD277" s="266">
        <f>DCOUNTA(AD55:AD72,1,AD294:AD297)</f>
        <v>12</v>
      </c>
      <c r="AE277" s="343"/>
      <c r="AF277" s="266">
        <f>DCOUNTA(AF55:AF72,1,AF294:AF297)</f>
        <v>12</v>
      </c>
      <c r="AG277" s="343"/>
      <c r="AH277" s="266">
        <f>DCOUNTA(AH55:AH72,1,AH294:AH297)</f>
        <v>10</v>
      </c>
      <c r="AI277" s="351"/>
      <c r="AJ277" s="266">
        <f>DCOUNTA(AJ55:AJ72,1,AJ294:AJ297)</f>
        <v>10</v>
      </c>
      <c r="AK277" s="653"/>
      <c r="AL277" s="188">
        <f>DCOUNTA(AL55:AL72,1,AL294:AL297)</f>
        <v>11</v>
      </c>
      <c r="AM277" s="351"/>
      <c r="AN277" s="266">
        <f>DCOUNTA(AN55:AN72,1,AN294:AN297)</f>
        <v>10</v>
      </c>
      <c r="AO277" s="136"/>
      <c r="AP277" s="188">
        <f>DCOUNTA(AP55:AP72,1,AP294:AP297)</f>
        <v>10</v>
      </c>
      <c r="AQ277" s="351"/>
      <c r="AR277" s="266">
        <f>DCOUNTA(AR55:AR72,1,AR294:AR297)</f>
        <v>5</v>
      </c>
      <c r="AS277" s="136"/>
      <c r="AT277" s="266">
        <f>DCOUNTA(AT55:AT72,1,AT294:AT297)</f>
        <v>9</v>
      </c>
      <c r="AU277" s="136"/>
      <c r="AV277" s="188">
        <f>DCOUNTA(AV55:AV72,1,AV294:AV297)</f>
        <v>12</v>
      </c>
      <c r="AW277" s="351"/>
      <c r="AX277" s="188">
        <f>DCOUNTA(AX55:AX72,1,AX294:AX297)</f>
        <v>15</v>
      </c>
      <c r="AY277" s="658"/>
      <c r="AZ277" s="188">
        <f>DCOUNTA(AZ55:AZ72,1,AZ294:AZ297)</f>
        <v>10</v>
      </c>
      <c r="BA277" s="653"/>
      <c r="BB277" s="188">
        <f>DCOUNTA(BB55:BB72,1,BB294:BB297)</f>
        <v>8</v>
      </c>
      <c r="BC277" s="351"/>
      <c r="BD277" s="188">
        <f>DCOUNTA(BD55:BD72,1,BD294:BD297)</f>
        <v>12</v>
      </c>
      <c r="BE277" s="653"/>
      <c r="BF277" s="188">
        <f>DCOUNTA(BF55:BF72,1,BF294:BF297)</f>
        <v>14</v>
      </c>
      <c r="BG277" s="351"/>
      <c r="BH277" s="188">
        <f>DCOUNTA(BH55:BH72,1,BH294:BH297)</f>
        <v>0</v>
      </c>
      <c r="BI277" s="351"/>
      <c r="BJ277" s="188">
        <f>DCOUNTA(BJ55:BJ72,1,BJ294:BJ297)</f>
        <v>6</v>
      </c>
      <c r="BK277" s="351"/>
      <c r="BL277" s="188">
        <f>DCOUNTA(BL55:BL72,1,BL294:BL297)</f>
        <v>12</v>
      </c>
      <c r="BM277" s="351"/>
      <c r="BN277" s="266">
        <f>DCOUNTA(BN55:BN72,1,BN294:BN297)</f>
        <v>16</v>
      </c>
      <c r="BO277" s="136"/>
      <c r="BP277" s="188">
        <f>DCOUNTA(BP55:BP72,1,BP294:BP297)</f>
        <v>5</v>
      </c>
      <c r="BQ277" s="659"/>
      <c r="BR277" s="188">
        <f>DCOUNTA(BR55:BR72,1,BR294:BR297)</f>
        <v>12</v>
      </c>
      <c r="BS277" s="351"/>
      <c r="BT277" s="188">
        <f>DCOUNTA(BT55:BT72,1,BT294:BT297)</f>
        <v>4</v>
      </c>
      <c r="BU277" s="351"/>
      <c r="BV277" s="188">
        <f>DCOUNTA(BV55:BV72,1,BV294:BV297)</f>
        <v>8</v>
      </c>
      <c r="BW277" s="174"/>
      <c r="BX277" s="266">
        <f>DCOUNTA(BX55:BX72,1,BX294:BX297)</f>
        <v>9</v>
      </c>
      <c r="BY277" s="136"/>
      <c r="BZ277" s="188">
        <f>DCOUNTA(BZ55:BZ72,1,BZ294:BZ297)</f>
        <v>0</v>
      </c>
      <c r="CA277" s="351"/>
      <c r="CB277" s="188">
        <f>DCOUNTA(CB55:CB72,1,CB294:CB297)</f>
        <v>9</v>
      </c>
      <c r="CC277" s="351"/>
      <c r="CD277" s="266">
        <f>DCOUNTA(CD55:CD72,1,CD294:CD297)</f>
        <v>11</v>
      </c>
      <c r="CE277" s="136"/>
      <c r="CF277" s="188">
        <f>DCOUNTA(CF55:CF72,1,CF294:CF297)</f>
        <v>4</v>
      </c>
      <c r="CG277" s="351"/>
      <c r="CH277" s="188">
        <f>DCOUNTA(CH55:CH72,1,CH294:CH297)</f>
        <v>14</v>
      </c>
      <c r="CI277" s="351"/>
      <c r="CJ277" s="188">
        <f>DCOUNTA(CJ55:CJ72,1,CJ294:CJ297)</f>
        <v>11</v>
      </c>
      <c r="CK277" s="351"/>
      <c r="CL277" s="188">
        <f>DCOUNTA(CL55:CL72,1,CL294:CL297)</f>
        <v>12</v>
      </c>
      <c r="CM277" s="351"/>
      <c r="CN277" s="188">
        <f>DCOUNTA(CN55:CN72,1,CN294:CN297)</f>
        <v>7</v>
      </c>
      <c r="CO277" s="351"/>
      <c r="CP277" s="188">
        <f>DCOUNTA(CP55:CP72,1,CP294:CP297)</f>
        <v>9</v>
      </c>
      <c r="CQ277" s="351"/>
      <c r="CR277" s="188">
        <f>DCOUNTA(CR55:CR72,1,CR294:CR297)</f>
        <v>1</v>
      </c>
      <c r="CS277" s="351"/>
      <c r="CT277" s="188">
        <f>DCOUNTA(CT55:CT72,1,CT294:CT297)</f>
        <v>16</v>
      </c>
      <c r="CU277" s="351"/>
      <c r="CV277" s="188">
        <f>DCOUNTA(CV55:CV72,1,CV294:CV297)</f>
        <v>8</v>
      </c>
      <c r="CW277" s="660"/>
      <c r="CX277" s="188">
        <f>DCOUNTA(CX55:CX72,1,CX294:CX297)</f>
        <v>11</v>
      </c>
      <c r="CY277" s="660"/>
      <c r="CZ277" s="188">
        <f>DCOUNTA(CZ55:CZ72,1,CZ294:CZ297)</f>
        <v>10</v>
      </c>
      <c r="DA277" s="660"/>
      <c r="DB277" s="136"/>
      <c r="DC277" s="136">
        <f t="shared" si="24"/>
        <v>9</v>
      </c>
      <c r="DD277" s="136">
        <f t="shared" si="25"/>
        <v>10</v>
      </c>
      <c r="DE277" s="136" t="s">
        <v>3109</v>
      </c>
      <c r="DF277" s="136"/>
      <c r="DG277" s="136"/>
      <c r="DH277" s="136"/>
      <c r="DI277" s="136"/>
      <c r="DJ277" s="136"/>
      <c r="DK277" s="136"/>
      <c r="DL277" s="136"/>
      <c r="DM277" s="136"/>
      <c r="DN277" s="136"/>
      <c r="DO277" s="136"/>
      <c r="DP277" s="136"/>
      <c r="DQ277" s="136"/>
      <c r="DR277" s="136"/>
    </row>
    <row r="278" spans="1:122" ht="18.75" x14ac:dyDescent="0.3">
      <c r="A278" s="136"/>
      <c r="B278" s="663">
        <f>COUNT(B36:B41,B50:B53)</f>
        <v>9</v>
      </c>
      <c r="C278" s="664" t="s">
        <v>3110</v>
      </c>
      <c r="D278" s="266">
        <f>DCOUNT(D36:D41,1,D294:D297)+COUNT(D50:D53)</f>
        <v>0</v>
      </c>
      <c r="E278" s="266"/>
      <c r="F278" s="266">
        <f>DCOUNTA(F36:F41,1,F294:F297)+COUNT(F50:F53)</f>
        <v>0</v>
      </c>
      <c r="G278" s="343"/>
      <c r="H278" s="266">
        <f>DCOUNTA(H36:H41,1,H294:H297)+COUNT(H50:H53)</f>
        <v>1</v>
      </c>
      <c r="I278" s="649"/>
      <c r="J278" s="665">
        <f>DCOUNTA(J36:J41,1,J294:J297)+COUNT(J50:J53)+1</f>
        <v>5</v>
      </c>
      <c r="K278" s="136"/>
      <c r="L278" s="266">
        <f>DCOUNTA(L36:L41,1,L294:L297)+COUNT(L50:L53)</f>
        <v>0</v>
      </c>
      <c r="M278" s="653"/>
      <c r="N278" s="266">
        <f>DCOUNTA(N36:N41,1,N294:N297)+COUNT(N50:N53)</f>
        <v>0</v>
      </c>
      <c r="O278" s="136"/>
      <c r="P278" s="266">
        <f>DCOUNTA(P36:P41,1,P294:P297)+COUNT(P50:P53)</f>
        <v>2</v>
      </c>
      <c r="Q278" s="655"/>
      <c r="R278" s="266">
        <f>DCOUNTA(R36:R41,1,R294:R297)+COUNT(R50:R53)</f>
        <v>4</v>
      </c>
      <c r="S278" s="351"/>
      <c r="T278" s="266">
        <f>DCOUNTA(T36:T41,1,T294:T297)+COUNT(T50:T53)</f>
        <v>2</v>
      </c>
      <c r="U278" s="651"/>
      <c r="V278" s="266">
        <f>DCOUNTA(V36:V41,1,V294:V297)+COUNT(V50:V53)</f>
        <v>0</v>
      </c>
      <c r="W278" s="657"/>
      <c r="X278" s="266">
        <f>DCOUNTA(X36:X41,1,X294:X297)+COUNT(X50:X53)</f>
        <v>3</v>
      </c>
      <c r="Y278" s="351"/>
      <c r="Z278" s="266">
        <f>DCOUNTA(Z36:Z41,1,Z294:Z297)+COUNT(Z50:Z53)</f>
        <v>7</v>
      </c>
      <c r="AA278" s="351"/>
      <c r="AB278" s="266">
        <f>DCOUNTA(AB36:AB41,1,AB294:AB297)+COUNT(AB50:AB53)</f>
        <v>0</v>
      </c>
      <c r="AC278" s="351"/>
      <c r="AD278" s="266">
        <f>DCOUNTA(AD36:AD41,1,AD294:AD297)+COUNT(AD50:AD53)</f>
        <v>0</v>
      </c>
      <c r="AE278" s="343"/>
      <c r="AF278" s="266">
        <f>DCOUNTA(AF36:AF41,1,AF294:AF297)+COUNT(AF50:AF53)</f>
        <v>0</v>
      </c>
      <c r="AG278" s="343"/>
      <c r="AH278" s="266">
        <f>DCOUNTA(AH36:AH41,1,AH294:AH297)+COUNT(AH50:AH53)</f>
        <v>1</v>
      </c>
      <c r="AI278" s="351"/>
      <c r="AJ278" s="266">
        <f>DCOUNTA(AJ36:AJ41,1,AJ294:AJ297)+COUNT(AJ50:AJ53)</f>
        <v>2</v>
      </c>
      <c r="AK278" s="653"/>
      <c r="AL278" s="188">
        <f>DCOUNTA(AL36:AL41,1,AL294:AL297)+COUNT(AL50:AL53)</f>
        <v>0</v>
      </c>
      <c r="AM278" s="351"/>
      <c r="AN278" s="266">
        <f>DCOUNTA(AN36:AN41,1,AN294:AN297)+COUNT(AN50:AN53)</f>
        <v>0</v>
      </c>
      <c r="AO278" s="136"/>
      <c r="AP278" s="188">
        <f>DCOUNTA(AP36:AP41,1,AP294:AP297)+COUNT(AP50:AP53)</f>
        <v>0</v>
      </c>
      <c r="AQ278" s="351"/>
      <c r="AR278" s="266">
        <f>DCOUNTA(AR36:AR41,1,AR294:AR297)+COUNT(AR50:AR53)</f>
        <v>1</v>
      </c>
      <c r="AS278" s="136"/>
      <c r="AT278" s="266">
        <f>DCOUNTA(AT36:AT41,1,AT294:AT297)+COUNT(AT50:AT53)</f>
        <v>0</v>
      </c>
      <c r="AU278" s="136"/>
      <c r="AV278" s="188">
        <f>DCOUNTA(AV36:AV41,1,AV294:AV297)+COUNT(AV50:AV53)</f>
        <v>0</v>
      </c>
      <c r="AW278" s="351"/>
      <c r="AX278" s="188">
        <f>DCOUNTA(AX36:AX41,1,AX294:AX297)+COUNT(AX50:AX53)</f>
        <v>0</v>
      </c>
      <c r="AY278" s="658"/>
      <c r="AZ278" s="188">
        <f>DCOUNTA(AZ36:AZ41,1,AZ294:AZ297)+COUNT(AZ50:AZ53)</f>
        <v>1</v>
      </c>
      <c r="BA278" s="653"/>
      <c r="BB278" s="188">
        <f>DCOUNTA(BB36:BB41,1,BB294:BB297)+COUNT(BB50:BB53)</f>
        <v>1</v>
      </c>
      <c r="BC278" s="351"/>
      <c r="BD278" s="188">
        <f>DCOUNTA(BD36:BD41,1,BD294:BD297)+COUNT(BD50:BD53)</f>
        <v>0</v>
      </c>
      <c r="BE278" s="653"/>
      <c r="BF278" s="188">
        <f>DCOUNTA(BF36:BF41,1,BF294:BF297)+COUNT(BF50:BF53)</f>
        <v>0</v>
      </c>
      <c r="BG278" s="351"/>
      <c r="BH278" s="188">
        <f>DCOUNTA(BH36:BH41,1,BH294:BH297)+COUNT(BH50:BH53)</f>
        <v>3</v>
      </c>
      <c r="BI278" s="351"/>
      <c r="BJ278" s="188">
        <f>DCOUNTA(BJ36:BJ41,1,BJ294:BJ297)+COUNT(BJ50:BJ53)</f>
        <v>0</v>
      </c>
      <c r="BK278" s="351"/>
      <c r="BL278" s="188">
        <f>DCOUNTA(BL36:BL41,1,BL294:BL297)+COUNT(BL50:BL53)</f>
        <v>1</v>
      </c>
      <c r="BM278" s="351"/>
      <c r="BN278" s="266">
        <f>DCOUNTA(BN36:BN41,1,BN294:BN297)+COUNT(BN50:BN53)</f>
        <v>8</v>
      </c>
      <c r="BO278" s="136"/>
      <c r="BP278" s="188">
        <f>DCOUNTA(BP36:BP41,1,BP294:BP297)+COUNT(BP50:BP53)</f>
        <v>3</v>
      </c>
      <c r="BQ278" s="659"/>
      <c r="BR278" s="188">
        <f>DCOUNTA(BR36:BR41,1,BR294:BR297)+COUNT(BR50:BR53)</f>
        <v>0</v>
      </c>
      <c r="BS278" s="351"/>
      <c r="BT278" s="188">
        <f>DCOUNTA(BT36:BT41,1,BT294:BT297)+COUNT(BT50:BT53)</f>
        <v>0</v>
      </c>
      <c r="BU278" s="351"/>
      <c r="BV278" s="188">
        <f>DCOUNTA(BV36:BV41,1,BV294:BV297)+COUNT(BV50:BV53)</f>
        <v>2</v>
      </c>
      <c r="BW278" s="174"/>
      <c r="BX278" s="266">
        <f>DCOUNTA(BX36:BX41,1,BX294:BX297)+COUNT(BX50:BX53)</f>
        <v>1</v>
      </c>
      <c r="BY278" s="136"/>
      <c r="BZ278" s="188">
        <f>DCOUNTA(BZ36:BZ41,1,BZ294:BZ297)+COUNT(BZ50:BZ53)</f>
        <v>0</v>
      </c>
      <c r="CA278" s="351"/>
      <c r="CB278" s="188">
        <f>DCOUNTA(CB36:CB41,1,CB294:CB297)+COUNT(CB50:CB53)</f>
        <v>1</v>
      </c>
      <c r="CC278" s="351"/>
      <c r="CD278" s="266">
        <f>DCOUNTA(CD36:CD41,1,CD294:CD297)+COUNT(CD50:CD53)</f>
        <v>2</v>
      </c>
      <c r="CE278" s="136"/>
      <c r="CF278" s="188">
        <f>DCOUNTA(CF36:CF41,1,CF294:CF297)+COUNT(CF50:CF53)</f>
        <v>0</v>
      </c>
      <c r="CG278" s="351"/>
      <c r="CH278" s="188">
        <f>DCOUNTA(CH36:CH41,1,CH294:CH297)+COUNT(CH50:CH53)</f>
        <v>5</v>
      </c>
      <c r="CI278" s="351"/>
      <c r="CJ278" s="188">
        <f>DCOUNTA(CJ36:CJ41,1,CJ294:CJ297)+COUNT(CJ50:CJ53)</f>
        <v>1</v>
      </c>
      <c r="CK278" s="351"/>
      <c r="CL278" s="188">
        <f>DCOUNTA(CL36:CL41,1,CL294:CL297)+COUNT(CL50:CL53)</f>
        <v>1</v>
      </c>
      <c r="CM278" s="351"/>
      <c r="CN278" s="188">
        <f>DCOUNTA(CN36:CN41,1,CN294:CN297)+COUNT(CN50:CN53)</f>
        <v>2</v>
      </c>
      <c r="CO278" s="351"/>
      <c r="CP278" s="188">
        <f>DCOUNTA(CP36:CP41,1,CP294:CP297)+COUNT(CP50:CP53)</f>
        <v>0</v>
      </c>
      <c r="CQ278" s="351"/>
      <c r="CR278" s="188">
        <f>DCOUNTA(CR36:CR41,1,CR294:CR297)+COUNT(CR50:CR53)</f>
        <v>0</v>
      </c>
      <c r="CS278" s="351"/>
      <c r="CT278" s="188">
        <f>DCOUNTA(CT36:CT41,1,CT294:CT297)+COUNT(CT50:CT53)</f>
        <v>7</v>
      </c>
      <c r="CU278" s="351"/>
      <c r="CV278" s="188">
        <f>DCOUNTA(CV36:CV41,1,CV294:CV297)+COUNT(CV50:CV53)</f>
        <v>4</v>
      </c>
      <c r="CW278" s="660"/>
      <c r="CX278" s="188">
        <f>DCOUNTA(CX36:CX41,1,CX294:CX297)+COUNT(CX50:CX53)</f>
        <v>2</v>
      </c>
      <c r="CY278" s="660"/>
      <c r="CZ278" s="188">
        <f>DCOUNTA(CZ36:CZ41,1,CZ294:CZ297)+COUNT(CZ50:CZ53)</f>
        <v>3</v>
      </c>
      <c r="DA278" s="660"/>
      <c r="DB278" s="136"/>
      <c r="DC278" s="136">
        <f t="shared" si="24"/>
        <v>1</v>
      </c>
      <c r="DD278" s="136">
        <f t="shared" si="25"/>
        <v>1</v>
      </c>
      <c r="DE278" s="136" t="s">
        <v>3111</v>
      </c>
      <c r="DF278" s="136"/>
      <c r="DG278" s="136"/>
      <c r="DH278" s="136"/>
      <c r="DI278" s="136"/>
      <c r="DJ278" s="136"/>
      <c r="DK278" s="136"/>
      <c r="DL278" s="136"/>
      <c r="DM278" s="136"/>
      <c r="DN278" s="136"/>
      <c r="DO278" s="136"/>
      <c r="DP278" s="136"/>
      <c r="DQ278" s="136"/>
      <c r="DR278" s="136"/>
    </row>
    <row r="279" spans="1:122" ht="18.75" x14ac:dyDescent="0.3">
      <c r="A279" s="136"/>
      <c r="B279" s="663">
        <f>COUNT(B43:B49)</f>
        <v>6</v>
      </c>
      <c r="C279" s="664" t="s">
        <v>3112</v>
      </c>
      <c r="D279" s="266">
        <f>DCOUNT(D43:D49,1,D294:D297)</f>
        <v>0</v>
      </c>
      <c r="E279" s="266"/>
      <c r="F279" s="266">
        <f>DCOUNTA(F43:F49,1,F294:F297)</f>
        <v>0</v>
      </c>
      <c r="G279" s="343"/>
      <c r="H279" s="266">
        <f>DCOUNTA(H43:H49,1,H294:H297)</f>
        <v>2</v>
      </c>
      <c r="I279" s="649"/>
      <c r="J279" s="266">
        <f>DCOUNTA(J43:J49,1,J294:J297)</f>
        <v>6</v>
      </c>
      <c r="K279" s="136"/>
      <c r="L279" s="266">
        <f>DCOUNTA(L43:L49,1,L294:L297)</f>
        <v>0</v>
      </c>
      <c r="M279" s="653"/>
      <c r="N279" s="266">
        <f>DCOUNTA(N43:N49,1,N294:N297)</f>
        <v>0</v>
      </c>
      <c r="O279" s="136"/>
      <c r="P279" s="266">
        <f>DCOUNTA(P43:P49,1,P294:P297)</f>
        <v>3</v>
      </c>
      <c r="Q279" s="655"/>
      <c r="R279" s="266">
        <f>DCOUNTA(R43:R49,1,R294:R297)</f>
        <v>6</v>
      </c>
      <c r="S279" s="351"/>
      <c r="T279" s="266">
        <f>DCOUNTA(T43:T49,1,T294:T297)</f>
        <v>2</v>
      </c>
      <c r="U279" s="651"/>
      <c r="V279" s="266">
        <f>DCOUNTA(V43:V49,1,V294:V297)</f>
        <v>6</v>
      </c>
      <c r="W279" s="657"/>
      <c r="X279" s="266">
        <f>DCOUNTA(X43:X49,1,X294:X297)</f>
        <v>0</v>
      </c>
      <c r="Y279" s="351"/>
      <c r="Z279" s="266">
        <f>DCOUNTA(Z43:Z49,1,Z294:Z297)</f>
        <v>6</v>
      </c>
      <c r="AA279" s="351"/>
      <c r="AB279" s="266">
        <f>DCOUNTA(AB43:AB49,1,AB294:AB297)</f>
        <v>0</v>
      </c>
      <c r="AC279" s="351"/>
      <c r="AD279" s="266">
        <f>DCOUNTA(AD43:AD49,1,AD294:AD297)</f>
        <v>0</v>
      </c>
      <c r="AE279" s="343"/>
      <c r="AF279" s="266">
        <f>DCOUNTA(AF43:AF49,1,AF294:AF297)</f>
        <v>1</v>
      </c>
      <c r="AG279" s="343"/>
      <c r="AH279" s="266">
        <f>DCOUNTA(AH43:AH49,1,AH294:AH297)</f>
        <v>3</v>
      </c>
      <c r="AI279" s="351"/>
      <c r="AJ279" s="266">
        <f>DCOUNTA(AJ43:AJ49,1,AJ294:AJ297)</f>
        <v>0</v>
      </c>
      <c r="AK279" s="653"/>
      <c r="AL279" s="188">
        <f>DCOUNTA(AL43:AL49,1,AL294:AL297)</f>
        <v>0</v>
      </c>
      <c r="AM279" s="351"/>
      <c r="AN279" s="266">
        <f>DCOUNTA(AN43:AN49,1,AN294:AN297)</f>
        <v>2</v>
      </c>
      <c r="AO279" s="136"/>
      <c r="AP279" s="188">
        <f>DCOUNTA(AP43:AP49,1,AP294:AP297)</f>
        <v>0</v>
      </c>
      <c r="AQ279" s="351"/>
      <c r="AR279" s="266">
        <f>DCOUNTA(AR43:AR49,1,AR294:AR297)</f>
        <v>0</v>
      </c>
      <c r="AS279" s="136"/>
      <c r="AT279" s="266">
        <f>DCOUNTA(AT43:AT49,1,AT294:AT297)</f>
        <v>0</v>
      </c>
      <c r="AU279" s="136"/>
      <c r="AV279" s="188">
        <f>DCOUNTA(AV43:AV49,1,AV294:AV297)</f>
        <v>0</v>
      </c>
      <c r="AW279" s="351"/>
      <c r="AX279" s="188">
        <f>DCOUNTA(AX43:AX49,1,AX294:AX297)</f>
        <v>0</v>
      </c>
      <c r="AY279" s="658"/>
      <c r="AZ279" s="188">
        <f>DCOUNTA(AZ43:AZ49,1,AZ294:AZ297)</f>
        <v>5</v>
      </c>
      <c r="BA279" s="653"/>
      <c r="BB279" s="188">
        <f>DCOUNTA(BB43:BB49,1,BB294:BB297)</f>
        <v>0</v>
      </c>
      <c r="BC279" s="351"/>
      <c r="BD279" s="188">
        <f>DCOUNTA(BD43:BD49,1,BD294:BD297)</f>
        <v>0</v>
      </c>
      <c r="BE279" s="653"/>
      <c r="BF279" s="188">
        <f>DCOUNTA(BF43:BF49,1,BF294:BF297)</f>
        <v>0</v>
      </c>
      <c r="BG279" s="351"/>
      <c r="BH279" s="188">
        <f>DCOUNTA(BH43:BH49,1,BH294:BH297)</f>
        <v>0</v>
      </c>
      <c r="BI279" s="351"/>
      <c r="BJ279" s="188">
        <f>DCOUNTA(BJ43:BJ49,1,BJ294:BJ297)</f>
        <v>0</v>
      </c>
      <c r="BK279" s="351"/>
      <c r="BL279" s="188">
        <f>DCOUNTA(BL43:BL49,1,BL294:BL297)</f>
        <v>6</v>
      </c>
      <c r="BM279" s="351"/>
      <c r="BN279" s="266">
        <f>DCOUNTA(BN43:BN49,1,BN294:BN297)</f>
        <v>6</v>
      </c>
      <c r="BO279" s="136"/>
      <c r="BP279" s="188">
        <f>DCOUNTA(BP43:BP49,1,BP294:BP297)</f>
        <v>4</v>
      </c>
      <c r="BQ279" s="659"/>
      <c r="BR279" s="188">
        <f>DCOUNTA(BR43:BR49,1,BR294:BR297)</f>
        <v>0</v>
      </c>
      <c r="BS279" s="351"/>
      <c r="BT279" s="188">
        <f>DCOUNTA(BT43:BT49,1,BT294:BT297)</f>
        <v>0</v>
      </c>
      <c r="BU279" s="351"/>
      <c r="BV279" s="188">
        <f>DCOUNTA(BV43:BV49,1,BV294:BV297)</f>
        <v>5</v>
      </c>
      <c r="BW279" s="174"/>
      <c r="BX279" s="266">
        <f>DCOUNTA(BX43:BX49,1,BX294:BX297)</f>
        <v>1</v>
      </c>
      <c r="BY279" s="136"/>
      <c r="BZ279" s="188">
        <f>DCOUNTA(BZ43:BZ49,1,BZ294:BZ297)</f>
        <v>0</v>
      </c>
      <c r="CA279" s="351"/>
      <c r="CB279" s="188">
        <f>DCOUNTA(CB43:CB49,1,CB294:CB297)</f>
        <v>0</v>
      </c>
      <c r="CC279" s="351"/>
      <c r="CD279" s="266">
        <f>DCOUNTA(CD43:CD49,1,CD294:CD297)</f>
        <v>0</v>
      </c>
      <c r="CE279" s="136"/>
      <c r="CF279" s="188">
        <f>DCOUNTA(CF43:CF49,1,CF294:CF297)</f>
        <v>0</v>
      </c>
      <c r="CG279" s="351"/>
      <c r="CH279" s="188">
        <f>DCOUNTA(CH43:CH49,1,CH294:CH297)</f>
        <v>5</v>
      </c>
      <c r="CI279" s="351"/>
      <c r="CJ279" s="188">
        <f>DCOUNTA(CJ43:CJ49,1,CJ294:CJ297)</f>
        <v>1</v>
      </c>
      <c r="CK279" s="351"/>
      <c r="CL279" s="188">
        <f>DCOUNTA(CL43:CL49,1,CL294:CL297)</f>
        <v>2</v>
      </c>
      <c r="CM279" s="351"/>
      <c r="CN279" s="188">
        <f>DCOUNTA(CN43:CN49,1,CN294:CN297)</f>
        <v>0</v>
      </c>
      <c r="CO279" s="351"/>
      <c r="CP279" s="188">
        <f>DCOUNTA(CP43:CP49,1,CP294:CP297)</f>
        <v>0</v>
      </c>
      <c r="CQ279" s="351"/>
      <c r="CR279" s="188">
        <f>DCOUNTA(CR43:CR49,1,CR294:CR297)</f>
        <v>0</v>
      </c>
      <c r="CS279" s="351"/>
      <c r="CT279" s="188">
        <f>DCOUNTA(CT43:CT49,1,CT294:CT297)</f>
        <v>6</v>
      </c>
      <c r="CU279" s="351"/>
      <c r="CV279" s="188">
        <f>DCOUNTA(CV43:CV49,1,CV294:CV297)</f>
        <v>6</v>
      </c>
      <c r="CW279" s="660"/>
      <c r="CX279" s="188">
        <f>DCOUNTA(CX43:CX49,1,CX294:CX297)</f>
        <v>1</v>
      </c>
      <c r="CY279" s="660"/>
      <c r="CZ279" s="188">
        <f>DCOUNTA(CZ43:CZ49,1,CZ294:CZ297)</f>
        <v>1</v>
      </c>
      <c r="DA279" s="660"/>
      <c r="DB279" s="136"/>
      <c r="DC279" s="136">
        <f t="shared" si="24"/>
        <v>1</v>
      </c>
      <c r="DD279" s="136">
        <f t="shared" si="25"/>
        <v>0</v>
      </c>
      <c r="DE279" s="136"/>
      <c r="DF279" s="136"/>
      <c r="DG279" s="136"/>
      <c r="DH279" s="136"/>
      <c r="DI279" s="136"/>
      <c r="DJ279" s="136"/>
      <c r="DK279" s="136"/>
      <c r="DL279" s="136"/>
      <c r="DM279" s="136"/>
      <c r="DN279" s="136"/>
      <c r="DO279" s="136"/>
      <c r="DP279" s="136"/>
      <c r="DQ279" s="136"/>
      <c r="DR279" s="136"/>
    </row>
    <row r="280" spans="1:122" ht="18.75" x14ac:dyDescent="0.3">
      <c r="A280" s="136"/>
      <c r="B280" s="663">
        <f>COUNT(B74:B82)</f>
        <v>8</v>
      </c>
      <c r="C280" s="664" t="s">
        <v>3113</v>
      </c>
      <c r="D280" s="266">
        <f>DCOUNT(D74:D82,1,D294:D297)</f>
        <v>0</v>
      </c>
      <c r="E280" s="266"/>
      <c r="F280" s="266">
        <f>DCOUNTA(F74:F82,1,F294:F297)</f>
        <v>0</v>
      </c>
      <c r="G280" s="343"/>
      <c r="H280" s="266">
        <f>DCOUNTA(H74:H82,1,H294:H297)</f>
        <v>0</v>
      </c>
      <c r="I280" s="649"/>
      <c r="J280" s="266">
        <f>DCOUNTA(J74:J82,1,J294:J297)</f>
        <v>0</v>
      </c>
      <c r="K280" s="136"/>
      <c r="L280" s="266">
        <f>DCOUNTA(L74:L82,1,L294:L297)</f>
        <v>0</v>
      </c>
      <c r="M280" s="653"/>
      <c r="N280" s="266">
        <f>DCOUNTA(N74:N82,1,N294:N297)</f>
        <v>0</v>
      </c>
      <c r="O280" s="136"/>
      <c r="P280" s="266">
        <f>DCOUNTA(P74:P82,1,P294:P297)</f>
        <v>0</v>
      </c>
      <c r="Q280" s="655"/>
      <c r="R280" s="266">
        <f>DCOUNTA(R74:R82,1,R294:R297)</f>
        <v>5</v>
      </c>
      <c r="S280" s="351"/>
      <c r="T280" s="266">
        <f>DCOUNTA(T74:T82,1,T294:T297)</f>
        <v>1</v>
      </c>
      <c r="U280" s="651"/>
      <c r="V280" s="266">
        <f>DCOUNTA(V74:V82,1,V294:V297)</f>
        <v>0</v>
      </c>
      <c r="W280" s="657"/>
      <c r="X280" s="266">
        <f>DCOUNTA(X74:X82,1,X294:X297)</f>
        <v>0</v>
      </c>
      <c r="Y280" s="351"/>
      <c r="Z280" s="266">
        <f>DCOUNTA(Z74:Z82,1,Z294:Z297)</f>
        <v>7</v>
      </c>
      <c r="AA280" s="351"/>
      <c r="AB280" s="266">
        <f>DCOUNTA(AB74:AB82,1,AB294:AB297)</f>
        <v>0</v>
      </c>
      <c r="AC280" s="351"/>
      <c r="AD280" s="266">
        <f>DCOUNTA(AD74:AD82,1,AD294:AD297)</f>
        <v>0</v>
      </c>
      <c r="AE280" s="343"/>
      <c r="AF280" s="266">
        <f>DCOUNTA(AF74:AF82,1,AF294:AF297)</f>
        <v>0</v>
      </c>
      <c r="AG280" s="343"/>
      <c r="AH280" s="266">
        <f>DCOUNTA(AH74:AH82,1,AH294:AH297)</f>
        <v>2</v>
      </c>
      <c r="AI280" s="351"/>
      <c r="AJ280" s="266">
        <f>DCOUNTA(AJ74:AJ82,1,AJ294:AJ297)</f>
        <v>0</v>
      </c>
      <c r="AK280" s="653"/>
      <c r="AL280" s="188">
        <f>DCOUNTA(AL74:AL82,1,AL294:AL297)</f>
        <v>0</v>
      </c>
      <c r="AM280" s="351"/>
      <c r="AN280" s="266">
        <f>DCOUNTA(AN74:AN82,1,AN294:AN297)</f>
        <v>0</v>
      </c>
      <c r="AO280" s="136"/>
      <c r="AP280" s="188">
        <f>DCOUNTA(AP74:AP82,1,AP294:AP297)</f>
        <v>0</v>
      </c>
      <c r="AQ280" s="351"/>
      <c r="AR280" s="266">
        <f>DCOUNTA(AR74:AR82,1,AR294:AR297)</f>
        <v>0</v>
      </c>
      <c r="AS280" s="136"/>
      <c r="AT280" s="266">
        <f>DCOUNTA(AT74:AT82,1,AT294:AT297)</f>
        <v>0</v>
      </c>
      <c r="AU280" s="136"/>
      <c r="AV280" s="188">
        <f>DCOUNTA(AV74:AV82,1,AV294:AV297)</f>
        <v>0</v>
      </c>
      <c r="AW280" s="351"/>
      <c r="AX280" s="188">
        <f>DCOUNTA(AX74:AX82,1,AX294:AX297)</f>
        <v>0</v>
      </c>
      <c r="AY280" s="658"/>
      <c r="AZ280" s="188">
        <f>DCOUNTA(AZ74:AZ82,1,AZ294:AZ297)</f>
        <v>0</v>
      </c>
      <c r="BA280" s="653"/>
      <c r="BB280" s="188">
        <f>DCOUNTA(BB74:BB82,1,BB294:BB297)</f>
        <v>0</v>
      </c>
      <c r="BC280" s="351"/>
      <c r="BD280" s="188">
        <f>DCOUNTA(BD74:BD82,1,BD294:BD297)</f>
        <v>1</v>
      </c>
      <c r="BE280" s="653"/>
      <c r="BF280" s="188">
        <f>DCOUNTA(BF74:BF82,1,BF294:BF297)</f>
        <v>0</v>
      </c>
      <c r="BG280" s="351"/>
      <c r="BH280" s="188">
        <f>DCOUNTA(BH74:BH82,1,BH294:BH297)</f>
        <v>0</v>
      </c>
      <c r="BI280" s="351"/>
      <c r="BJ280" s="188">
        <f>DCOUNTA(BJ74:BJ82,1,BJ294:BJ297)</f>
        <v>0</v>
      </c>
      <c r="BK280" s="351"/>
      <c r="BL280" s="188">
        <f>DCOUNTA(BL74:BL82,1,BL294:BL297)</f>
        <v>2</v>
      </c>
      <c r="BM280" s="351"/>
      <c r="BN280" s="266">
        <f>DCOUNTA(BN74:BN82,1,BN294:BN297)</f>
        <v>6</v>
      </c>
      <c r="BO280" s="136"/>
      <c r="BP280" s="188">
        <f>DCOUNTA(BP74:BP82,1,BP294:BP297)</f>
        <v>2</v>
      </c>
      <c r="BQ280" s="659"/>
      <c r="BR280" s="188">
        <f>DCOUNTA(BR74:BR82,1,BR294:BR297)</f>
        <v>0</v>
      </c>
      <c r="BS280" s="351"/>
      <c r="BT280" s="188">
        <f>DCOUNTA(BT74:BT82,1,BT294:BT297)</f>
        <v>0</v>
      </c>
      <c r="BU280" s="351"/>
      <c r="BV280" s="188">
        <f>DCOUNTA(BV74:BV82,1,BV294:BV297)</f>
        <v>0</v>
      </c>
      <c r="BW280" s="174"/>
      <c r="BX280" s="266">
        <f>DCOUNTA(BX74:BX82,1,BX294:BX297)</f>
        <v>0</v>
      </c>
      <c r="BY280" s="136"/>
      <c r="BZ280" s="188">
        <f>DCOUNTA(BZ74:BZ82,1,BZ294:BZ297)</f>
        <v>0</v>
      </c>
      <c r="CA280" s="351"/>
      <c r="CB280" s="188">
        <f>DCOUNTA(CB74:CB82,1,CB294:CB297)</f>
        <v>0</v>
      </c>
      <c r="CC280" s="351"/>
      <c r="CD280" s="266">
        <f>DCOUNTA(CD74:CD82,1,CD294:CD297)</f>
        <v>0</v>
      </c>
      <c r="CE280" s="136"/>
      <c r="CF280" s="188">
        <f>DCOUNTA(CF74:CF82,1,CF294:CF297)</f>
        <v>0</v>
      </c>
      <c r="CG280" s="351"/>
      <c r="CH280" s="188">
        <f>DCOUNTA(CH74:CH82,1,CH294:CH297)</f>
        <v>7</v>
      </c>
      <c r="CI280" s="351"/>
      <c r="CJ280" s="188">
        <f>DCOUNTA(CJ74:CJ82,1,CJ294:CJ297)</f>
        <v>0</v>
      </c>
      <c r="CK280" s="351"/>
      <c r="CL280" s="188">
        <f>DCOUNTA(CL74:CL82,1,CL294:CL297)</f>
        <v>2</v>
      </c>
      <c r="CM280" s="351"/>
      <c r="CN280" s="188">
        <f>DCOUNTA(CN74:CN82,1,CN294:CN297)</f>
        <v>0</v>
      </c>
      <c r="CO280" s="351"/>
      <c r="CP280" s="188">
        <f>DCOUNTA(CP74:CP82,1,CP294:CP297)</f>
        <v>0</v>
      </c>
      <c r="CQ280" s="351"/>
      <c r="CR280" s="188">
        <f>DCOUNTA(CR74:CR82,1,CR294:CR297)</f>
        <v>0</v>
      </c>
      <c r="CS280" s="351"/>
      <c r="CT280" s="188">
        <f>DCOUNTA(CT74:CT82,1,CT294:CT297)</f>
        <v>8</v>
      </c>
      <c r="CU280" s="351"/>
      <c r="CV280" s="188">
        <f>DCOUNTA(CV74:CV82,1,CV294:CV297)</f>
        <v>3</v>
      </c>
      <c r="CW280" s="660"/>
      <c r="CX280" s="188">
        <f>DCOUNTA(CX74:CX82,1,CX294:CX297)</f>
        <v>0</v>
      </c>
      <c r="CY280" s="660"/>
      <c r="CZ280" s="188">
        <f>DCOUNTA(CZ74:CZ82,1,CZ294:CZ297)</f>
        <v>0</v>
      </c>
      <c r="DA280" s="660"/>
      <c r="DB280" s="136"/>
      <c r="DC280" s="136">
        <f t="shared" si="24"/>
        <v>0</v>
      </c>
      <c r="DD280" s="136">
        <f t="shared" si="25"/>
        <v>0</v>
      </c>
      <c r="DE280" s="136"/>
      <c r="DF280" s="136"/>
      <c r="DG280" s="136"/>
      <c r="DH280" s="136"/>
      <c r="DI280" s="136"/>
      <c r="DJ280" s="136"/>
      <c r="DK280" s="136"/>
      <c r="DL280" s="136"/>
      <c r="DM280" s="136"/>
      <c r="DN280" s="136"/>
      <c r="DO280" s="136"/>
      <c r="DP280" s="136"/>
      <c r="DQ280" s="136"/>
      <c r="DR280" s="136"/>
    </row>
    <row r="281" spans="1:122" ht="18.75" x14ac:dyDescent="0.3">
      <c r="A281" s="136"/>
      <c r="B281" s="663">
        <f>COUNT(B85:B106)</f>
        <v>20</v>
      </c>
      <c r="C281" s="664" t="s">
        <v>3114</v>
      </c>
      <c r="D281" s="266">
        <f>DCOUNT(D85:D106,1,D294:D297)</f>
        <v>1</v>
      </c>
      <c r="E281" s="266"/>
      <c r="F281" s="266">
        <f>DCOUNTA(F85:F106,1,F294:F297)</f>
        <v>0</v>
      </c>
      <c r="G281" s="343"/>
      <c r="H281" s="266">
        <f>DCOUNTA(H85:H106,1,H294:H297)</f>
        <v>7</v>
      </c>
      <c r="I281" s="649"/>
      <c r="J281" s="266">
        <f>DCOUNTA(J85:J106,1,J294:J297)</f>
        <v>2</v>
      </c>
      <c r="K281" s="136"/>
      <c r="L281" s="266">
        <f>DCOUNTA(L85:L106,1,L294:L297)</f>
        <v>2</v>
      </c>
      <c r="M281" s="653"/>
      <c r="N281" s="266">
        <f>DCOUNTA(N85:N106,1,N294:N297)</f>
        <v>1</v>
      </c>
      <c r="O281" s="136"/>
      <c r="P281" s="266">
        <f>DCOUNTA(P85:P106,1,P294:P297)</f>
        <v>9</v>
      </c>
      <c r="Q281" s="655"/>
      <c r="R281" s="266">
        <f>DCOUNTA(R85:R106,1,R294:R297)</f>
        <v>20</v>
      </c>
      <c r="S281" s="351"/>
      <c r="T281" s="266">
        <f>DCOUNTA(T85:T106,1,T294:T297)</f>
        <v>9</v>
      </c>
      <c r="U281" s="651"/>
      <c r="V281" s="266">
        <f>DCOUNTA(V85:V106,1,V294:V297)</f>
        <v>4</v>
      </c>
      <c r="W281" s="657"/>
      <c r="X281" s="266">
        <f>DCOUNTA(X85:X106,1,X294:X297)</f>
        <v>4</v>
      </c>
      <c r="Y281" s="351"/>
      <c r="Z281" s="266">
        <f>DCOUNTA(Z85:Z106,1,Z294:Z297)</f>
        <v>20</v>
      </c>
      <c r="AA281" s="351"/>
      <c r="AB281" s="266">
        <f>DCOUNTA(AB85:AB106,1,AB294:AB297)</f>
        <v>3</v>
      </c>
      <c r="AC281" s="351"/>
      <c r="AD281" s="266">
        <f>DCOUNTA(AD85:AD106,1,AD294:AD297)</f>
        <v>2</v>
      </c>
      <c r="AE281" s="343"/>
      <c r="AF281" s="266">
        <f>DCOUNTA(AF85:AF106,1,AF294:AF297)</f>
        <v>4</v>
      </c>
      <c r="AG281" s="343"/>
      <c r="AH281" s="266">
        <f>DCOUNTA(AH85:AH106,1,AH294:AH297)</f>
        <v>15</v>
      </c>
      <c r="AI281" s="351"/>
      <c r="AJ281" s="266">
        <f>DCOUNTA(AJ85:AJ106,1,AJ294:AJ297)</f>
        <v>10</v>
      </c>
      <c r="AK281" s="653"/>
      <c r="AL281" s="188">
        <f>DCOUNTA(AL85:AL106,1,AL294:AL297)</f>
        <v>2</v>
      </c>
      <c r="AM281" s="351"/>
      <c r="AN281" s="266">
        <f>DCOUNTA(AN85:AN106,1,AN294:AN297)</f>
        <v>8</v>
      </c>
      <c r="AO281" s="136"/>
      <c r="AP281" s="188">
        <f>DCOUNTA(AP85:AP106,1,AP294:AP297)</f>
        <v>1</v>
      </c>
      <c r="AQ281" s="351"/>
      <c r="AR281" s="266">
        <f>DCOUNTA(AR85:AR106,1,AR294:AR297)</f>
        <v>3</v>
      </c>
      <c r="AS281" s="136"/>
      <c r="AT281" s="266">
        <f>DCOUNTA(AT85:AT106,1,AT294:AT297)</f>
        <v>1</v>
      </c>
      <c r="AU281" s="136"/>
      <c r="AV281" s="188">
        <f>DCOUNTA(AV85:AV106,1,AV294:AV297)</f>
        <v>2</v>
      </c>
      <c r="AW281" s="351"/>
      <c r="AX281" s="188">
        <f>DCOUNTA(AX85:AX106,1,AX294:AX297)</f>
        <v>8</v>
      </c>
      <c r="AY281" s="658"/>
      <c r="AZ281" s="188">
        <f>DCOUNTA(AZ85:AZ106,1,AZ294:AZ297)</f>
        <v>5</v>
      </c>
      <c r="BA281" s="653"/>
      <c r="BB281" s="188">
        <f>DCOUNTA(BB85:BB106,1,BB294:BB297)</f>
        <v>1</v>
      </c>
      <c r="BC281" s="351"/>
      <c r="BD281" s="188">
        <f>DCOUNTA(BD85:BD106,1,BD294:BD297)</f>
        <v>0</v>
      </c>
      <c r="BE281" s="653"/>
      <c r="BF281" s="188">
        <f>DCOUNTA(BF85:BF106,1,BF294:BF297)</f>
        <v>10</v>
      </c>
      <c r="BG281" s="351"/>
      <c r="BH281" s="188">
        <f>DCOUNTA(BH85:BH106,1,BH294:BH297)</f>
        <v>1</v>
      </c>
      <c r="BI281" s="351"/>
      <c r="BJ281" s="188">
        <f>DCOUNTA(BJ85:BJ106,1,BJ294:BJ297)</f>
        <v>1</v>
      </c>
      <c r="BK281" s="351"/>
      <c r="BL281" s="188">
        <f>DCOUNTA(BL85:BL106,1,BL294:BL297)</f>
        <v>6</v>
      </c>
      <c r="BM281" s="351"/>
      <c r="BN281" s="266">
        <f>DCOUNTA(BN85:BN106,1,BN294:BN297)</f>
        <v>20</v>
      </c>
      <c r="BO281" s="136"/>
      <c r="BP281" s="188">
        <f>DCOUNTA(BP85:BP106,1,BP294:BP297)</f>
        <v>5</v>
      </c>
      <c r="BQ281" s="659"/>
      <c r="BR281" s="188">
        <f>DCOUNTA(BR85:BR106,1,BR294:BR297)</f>
        <v>7</v>
      </c>
      <c r="BS281" s="351"/>
      <c r="BT281" s="188">
        <f>DCOUNTA(BT85:BT106,1,BT294:BT297)</f>
        <v>1</v>
      </c>
      <c r="BU281" s="351"/>
      <c r="BV281" s="188">
        <f>DCOUNTA(BV85:BV106,1,BV294:BV297)</f>
        <v>11</v>
      </c>
      <c r="BW281" s="174"/>
      <c r="BX281" s="266">
        <f>DCOUNTA(BX85:BX106,1,BX294:BX297)</f>
        <v>3</v>
      </c>
      <c r="BY281" s="136"/>
      <c r="BZ281" s="188">
        <f>DCOUNTA(BZ85:BZ106,1,BZ294:BZ297)</f>
        <v>0</v>
      </c>
      <c r="CA281" s="351"/>
      <c r="CB281" s="188">
        <f>DCOUNTA(CB85:CB106,1,CB294:CB297)</f>
        <v>5</v>
      </c>
      <c r="CC281" s="351"/>
      <c r="CD281" s="266">
        <f>DCOUNTA(CD85:CD106,1,CD294:CD297)</f>
        <v>1</v>
      </c>
      <c r="CE281" s="136"/>
      <c r="CF281" s="188">
        <f>DCOUNTA(CF85:CF106,1,CF294:CF297)</f>
        <v>6</v>
      </c>
      <c r="CG281" s="351"/>
      <c r="CH281" s="188">
        <f>DCOUNTA(CH85:CH106,1,CH294:CH297)</f>
        <v>19</v>
      </c>
      <c r="CI281" s="351"/>
      <c r="CJ281" s="188">
        <f>DCOUNTA(CJ85:CJ106,1,CJ294:CJ297)</f>
        <v>10</v>
      </c>
      <c r="CK281" s="351"/>
      <c r="CL281" s="188">
        <f>DCOUNTA(CL85:CL106,1,CL294:CL297)</f>
        <v>10</v>
      </c>
      <c r="CM281" s="351"/>
      <c r="CN281" s="188">
        <f>DCOUNTA(CN85:CN106,1,CN294:CN297)</f>
        <v>8</v>
      </c>
      <c r="CO281" s="351"/>
      <c r="CP281" s="188">
        <f>DCOUNTA(CP85:CP106,1,CP294:CP297)</f>
        <v>2</v>
      </c>
      <c r="CQ281" s="351"/>
      <c r="CR281" s="188">
        <f>DCOUNTA(CR85:CR106,1,CR294:CR297)</f>
        <v>3</v>
      </c>
      <c r="CS281" s="351"/>
      <c r="CT281" s="188">
        <f>DCOUNTA(CT85:CT106,1,CT294:CT297)</f>
        <v>20</v>
      </c>
      <c r="CU281" s="351"/>
      <c r="CV281" s="188">
        <f>DCOUNTA(CV85:CV106,1,CV294:CV297)</f>
        <v>18</v>
      </c>
      <c r="CW281" s="660"/>
      <c r="CX281" s="188">
        <f>DCOUNTA(CX85:CX106,1,CX294:CX297)</f>
        <v>10</v>
      </c>
      <c r="CY281" s="660"/>
      <c r="CZ281" s="188">
        <f>DCOUNTA(CZ85:CZ106,1,CZ294:CZ297)</f>
        <v>7</v>
      </c>
      <c r="DA281" s="660"/>
      <c r="DB281" s="136"/>
      <c r="DC281" s="136">
        <f t="shared" si="24"/>
        <v>3</v>
      </c>
      <c r="DD281" s="136">
        <f t="shared" si="25"/>
        <v>5</v>
      </c>
      <c r="DE281" s="136" t="s">
        <v>3115</v>
      </c>
      <c r="DF281" s="136"/>
      <c r="DG281" s="136"/>
      <c r="DH281" s="136"/>
      <c r="DI281" s="136"/>
      <c r="DJ281" s="136"/>
      <c r="DK281" s="136"/>
      <c r="DL281" s="136"/>
      <c r="DM281" s="136"/>
      <c r="DN281" s="136"/>
      <c r="DO281" s="136"/>
      <c r="DP281" s="136"/>
      <c r="DQ281" s="136"/>
      <c r="DR281" s="136"/>
    </row>
    <row r="282" spans="1:122" ht="18.75" x14ac:dyDescent="0.3">
      <c r="A282" s="136"/>
      <c r="B282" s="663">
        <f>COUNT(B110:B144)</f>
        <v>34</v>
      </c>
      <c r="C282" s="664" t="s">
        <v>3116</v>
      </c>
      <c r="D282" s="266">
        <f>DCOUNT(D108:D144,1,D294:D297)</f>
        <v>6</v>
      </c>
      <c r="E282" s="266"/>
      <c r="F282" s="266">
        <f>DCOUNTA(F108:F144,1,F294:F297)</f>
        <v>0</v>
      </c>
      <c r="G282" s="343"/>
      <c r="H282" s="266">
        <f>DCOUNTA(H108:H144,1,H294:H297)</f>
        <v>12</v>
      </c>
      <c r="I282" s="649"/>
      <c r="J282" s="266">
        <f>DCOUNTA(J108:J144,1,J294:J297)</f>
        <v>7</v>
      </c>
      <c r="K282" s="136"/>
      <c r="L282" s="266">
        <f>DCOUNTA(L108:L144,1,L294:L297)</f>
        <v>7</v>
      </c>
      <c r="M282" s="653"/>
      <c r="N282" s="266">
        <f>DCOUNTA(N108:N144,1,N294:N297)</f>
        <v>2</v>
      </c>
      <c r="O282" s="136"/>
      <c r="P282" s="266">
        <f>DCOUNTA(P108:P144,1,P294:P297)</f>
        <v>21</v>
      </c>
      <c r="Q282" s="655"/>
      <c r="R282" s="266">
        <f>DCOUNTA(R108:R144,1,R294:R297)</f>
        <v>34</v>
      </c>
      <c r="S282" s="351"/>
      <c r="T282" s="266">
        <f>DCOUNTA(T108:T144,1,T294:T297)</f>
        <v>17</v>
      </c>
      <c r="U282" s="651"/>
      <c r="V282" s="266">
        <f>DCOUNTA(V108:V144,1,V294:V297)</f>
        <v>11</v>
      </c>
      <c r="W282" s="657"/>
      <c r="X282" s="266">
        <f>DCOUNTA(X108:X144,1,X294:X297)</f>
        <v>5</v>
      </c>
      <c r="Y282" s="351"/>
      <c r="Z282" s="266">
        <f>DCOUNTA(Z108:Z144,1,Z294:Z297)</f>
        <v>34</v>
      </c>
      <c r="AA282" s="351"/>
      <c r="AB282" s="266">
        <f>DCOUNTA(AB108:AB144,1,AB294:AB297)</f>
        <v>4</v>
      </c>
      <c r="AC282" s="351"/>
      <c r="AD282" s="266">
        <f>DCOUNTA(AD108:AD144,1,AD294:AD297)</f>
        <v>1</v>
      </c>
      <c r="AE282" s="343"/>
      <c r="AF282" s="266">
        <f>DCOUNTA(AF108:AF144,1,AF294:AF297)</f>
        <v>3</v>
      </c>
      <c r="AG282" s="343"/>
      <c r="AH282" s="266">
        <f>DCOUNTA(AH108:AH144,1,AH294:AH297)</f>
        <v>17</v>
      </c>
      <c r="AI282" s="351"/>
      <c r="AJ282" s="266">
        <f>DCOUNTA(AJ108:AJ144,1,AJ294:AJ297)</f>
        <v>9</v>
      </c>
      <c r="AK282" s="653"/>
      <c r="AL282" s="188">
        <f>DCOUNTA(AL108:AL144,1,AL294:AL297)</f>
        <v>4</v>
      </c>
      <c r="AM282" s="351"/>
      <c r="AN282" s="266">
        <f>DCOUNTA(AN108:AN144,1,AN294:AN297)</f>
        <v>5</v>
      </c>
      <c r="AO282" s="136"/>
      <c r="AP282" s="188">
        <f>DCOUNTA(AP108:AP144,1,AP294:AP297)</f>
        <v>6</v>
      </c>
      <c r="AQ282" s="351"/>
      <c r="AR282" s="266">
        <f>DCOUNTA(AR108:AR144,1,AR294:AR297)</f>
        <v>13</v>
      </c>
      <c r="AS282" s="136"/>
      <c r="AT282" s="266">
        <f>DCOUNTA(AT108:AT144,1,AT294:AT297)</f>
        <v>4</v>
      </c>
      <c r="AU282" s="136"/>
      <c r="AV282" s="188">
        <f>DCOUNTA(AV108:AV144,1,AV294:AV297)</f>
        <v>7</v>
      </c>
      <c r="AW282" s="351"/>
      <c r="AX282" s="188">
        <f>DCOUNTA(AX108:AX144,1,AX294:AX297)</f>
        <v>11</v>
      </c>
      <c r="AY282" s="658"/>
      <c r="AZ282" s="188">
        <f>DCOUNTA(AZ108:AZ144,1,AZ294:AZ297)</f>
        <v>8</v>
      </c>
      <c r="BA282" s="653"/>
      <c r="BB282" s="188">
        <f>DCOUNTA(BB108:BB144,1,BB294:BB297)</f>
        <v>2</v>
      </c>
      <c r="BC282" s="351"/>
      <c r="BD282" s="188">
        <f>DCOUNTA(BD108:BD144,1,BD294:BD297)</f>
        <v>0</v>
      </c>
      <c r="BE282" s="653"/>
      <c r="BF282" s="188">
        <f>DCOUNTA(BF108:BF144,1,BF294:BF297)</f>
        <v>14</v>
      </c>
      <c r="BG282" s="351"/>
      <c r="BH282" s="188">
        <f>DCOUNTA(BH108:BH144,1,BH294:BH297)</f>
        <v>4</v>
      </c>
      <c r="BI282" s="351"/>
      <c r="BJ282" s="188">
        <f>DCOUNTA(BJ108:BJ144,1,BJ294:BJ297)</f>
        <v>0</v>
      </c>
      <c r="BK282" s="351"/>
      <c r="BL282" s="188">
        <f>DCOUNTA(BL108:BL144,1,BL294:BL297)</f>
        <v>17</v>
      </c>
      <c r="BM282" s="351"/>
      <c r="BN282" s="266">
        <f>DCOUNTA(BN108:BN144,1,BN294:BN297)</f>
        <v>32</v>
      </c>
      <c r="BO282" s="136"/>
      <c r="BP282" s="188">
        <f>DCOUNTA(BP108:BP144,1,BP294:BP297)</f>
        <v>13</v>
      </c>
      <c r="BQ282" s="659"/>
      <c r="BR282" s="188">
        <f>DCOUNTA(BR108:BR144,1,BR294:BR297)</f>
        <v>8</v>
      </c>
      <c r="BS282" s="351"/>
      <c r="BT282" s="188">
        <f>DCOUNTA(BT108:BT144,1,BT294:BT297)</f>
        <v>4</v>
      </c>
      <c r="BU282" s="351"/>
      <c r="BV282" s="188">
        <f>DCOUNTA(BV108:BV144,1,BV294:BV297)</f>
        <v>14</v>
      </c>
      <c r="BW282" s="174"/>
      <c r="BX282" s="266">
        <f>DCOUNTA(BX108:BX144,1,BX294:BX297)</f>
        <v>5</v>
      </c>
      <c r="BY282" s="136"/>
      <c r="BZ282" s="188">
        <f>DCOUNTA(BZ108:BZ144,1,BZ294:BZ297)</f>
        <v>0</v>
      </c>
      <c r="CA282" s="351"/>
      <c r="CB282" s="188">
        <f>DCOUNTA(CB108:CB144,1,CB294:CB297)</f>
        <v>16</v>
      </c>
      <c r="CC282" s="351"/>
      <c r="CD282" s="266">
        <f>DCOUNTA(CD108:CD144,1,CD294:CD297)</f>
        <v>6</v>
      </c>
      <c r="CE282" s="136"/>
      <c r="CF282" s="188">
        <f>DCOUNTA(CF108:CF144,1,CF294:CF297)</f>
        <v>7</v>
      </c>
      <c r="CG282" s="351"/>
      <c r="CH282" s="188">
        <f>DCOUNTA(CH108:CH144,1,CH294:CH297)</f>
        <v>28</v>
      </c>
      <c r="CI282" s="351"/>
      <c r="CJ282" s="188">
        <f>DCOUNTA(CJ108:CJ144,1,CJ294:CJ297)</f>
        <v>7</v>
      </c>
      <c r="CK282" s="351"/>
      <c r="CL282" s="188">
        <f>DCOUNTA(CL108:CL144,1,CL294:CL297)</f>
        <v>14</v>
      </c>
      <c r="CM282" s="351"/>
      <c r="CN282" s="188">
        <f>DCOUNTA(CN108:CN144,1,CN294:CN297)</f>
        <v>6</v>
      </c>
      <c r="CO282" s="351"/>
      <c r="CP282" s="188">
        <f>DCOUNTA(CP108:CP144,1,CP294:CP297)</f>
        <v>5</v>
      </c>
      <c r="CQ282" s="351"/>
      <c r="CR282" s="188">
        <f>DCOUNTA(CR108:CR144,1,CR294:CR297)</f>
        <v>4</v>
      </c>
      <c r="CS282" s="351"/>
      <c r="CT282" s="188">
        <f>DCOUNTA(CT108:CT144,1,CT294:CT297)</f>
        <v>33</v>
      </c>
      <c r="CU282" s="351"/>
      <c r="CV282" s="188">
        <f>DCOUNTA(CV108:CV144,1,CV294:CV297)</f>
        <v>27</v>
      </c>
      <c r="CW282" s="660"/>
      <c r="CX282" s="188">
        <f>DCOUNTA(CX108:CX144,1,CX294:CX297)</f>
        <v>8</v>
      </c>
      <c r="CY282" s="660"/>
      <c r="CZ282" s="188">
        <f>DCOUNTA(CZ108:CZ144,1,CZ294:CZ297)</f>
        <v>5</v>
      </c>
      <c r="DA282" s="660"/>
      <c r="DB282" s="136"/>
      <c r="DC282" s="136">
        <f t="shared" si="24"/>
        <v>5</v>
      </c>
      <c r="DD282" s="136">
        <f t="shared" si="25"/>
        <v>7</v>
      </c>
      <c r="DE282" s="136" t="s">
        <v>3117</v>
      </c>
      <c r="DF282" s="136"/>
      <c r="DG282" s="136"/>
      <c r="DH282" s="136"/>
      <c r="DI282" s="136"/>
      <c r="DJ282" s="136"/>
      <c r="DK282" s="136"/>
      <c r="DL282" s="136"/>
      <c r="DM282" s="136"/>
      <c r="DN282" s="136"/>
      <c r="DO282" s="136"/>
      <c r="DP282" s="136"/>
      <c r="DQ282" s="136"/>
      <c r="DR282" s="136"/>
    </row>
    <row r="283" spans="1:122" ht="18.75" x14ac:dyDescent="0.3">
      <c r="A283" s="136"/>
      <c r="B283" s="663">
        <f>COUNT(B148:B155)</f>
        <v>8</v>
      </c>
      <c r="C283" s="664" t="s">
        <v>3118</v>
      </c>
      <c r="D283" s="266">
        <f>DCOUNT(D146:D155,1,D294:D297)-DCOUNT(D146:D147,1,D294:D297)</f>
        <v>3</v>
      </c>
      <c r="E283" s="266"/>
      <c r="F283" s="266">
        <f>DCOUNTA(F146:F155,1,F294:F297)-DCOUNTA(F146:F147,1,F294:F297)</f>
        <v>0</v>
      </c>
      <c r="G283" s="343"/>
      <c r="H283" s="266">
        <f>DCOUNTA(H146:H155,1,H294:H297)-DCOUNTA(H146:H147,1,H294:H297)</f>
        <v>1</v>
      </c>
      <c r="I283" s="649"/>
      <c r="J283" s="266">
        <f>DCOUNTA(J146:J155,1,J294:J297)-DCOUNTA(J146:J147,1,J294:J297)</f>
        <v>0</v>
      </c>
      <c r="K283" s="136"/>
      <c r="L283" s="266">
        <f>DCOUNTA(L146:L155,1,L294:L297)-DCOUNTA(L146:L147,1,L294:L297)</f>
        <v>1</v>
      </c>
      <c r="M283" s="653"/>
      <c r="N283" s="266">
        <f>DCOUNTA(N146:N155,1,N294:N297)-DCOUNTA(N146:N147,1,N294:N297)</f>
        <v>0</v>
      </c>
      <c r="O283" s="136"/>
      <c r="P283" s="266">
        <f>DCOUNTA(P146:P155,1,P294:P297)-DCOUNTA(P146:P147,1,P294:P297)</f>
        <v>6</v>
      </c>
      <c r="Q283" s="655"/>
      <c r="R283" s="266">
        <f>DCOUNTA(R146:R155,1,R294:R297)-DCOUNTA(R146:R147,1,R294:R297)</f>
        <v>6</v>
      </c>
      <c r="S283" s="351"/>
      <c r="T283" s="266">
        <f>DCOUNTA(T146:T155,1,T294:T297)-DCOUNTA(T146:T147,1,T294:T297)</f>
        <v>6</v>
      </c>
      <c r="U283" s="651"/>
      <c r="V283" s="266">
        <f>DCOUNTA(V146:V155,1,V294:V297)-DCOUNTA(V146:V147,1,V294:V297)</f>
        <v>0</v>
      </c>
      <c r="W283" s="657"/>
      <c r="X283" s="266">
        <f>DCOUNTA(X146:X155,1,X294:X297)-DCOUNTA(X146:X147,1,X294:X297)</f>
        <v>2</v>
      </c>
      <c r="Y283" s="351"/>
      <c r="Z283" s="266">
        <f>DCOUNTA(Z146:Z155,1,Z294:Z297)-DCOUNTA(Z146:Z147,1,Z294:Z297)</f>
        <v>8</v>
      </c>
      <c r="AA283" s="351"/>
      <c r="AB283" s="266">
        <f>DCOUNTA(AB146:AB155,1,AB294:AB297)-DCOUNTA(AB146:AB147,1,AB294:AB297)</f>
        <v>0</v>
      </c>
      <c r="AC283" s="351"/>
      <c r="AD283" s="266">
        <f>DCOUNTA(AD146:AD155,1,AD294:AD297)-DCOUNTA(AD146:AD147,1,AD294:AD297)</f>
        <v>1</v>
      </c>
      <c r="AE283" s="343"/>
      <c r="AF283" s="266">
        <f>DCOUNTA(AF146:AF155,1,AF294:AF297)-DCOUNTA(AF146:AF147,1,AF294:AF297)</f>
        <v>1</v>
      </c>
      <c r="AG283" s="343"/>
      <c r="AH283" s="266">
        <f>DCOUNTA(AH146:AH155,1,AH294:AH297)-DCOUNTA(AH146:AH147,1,AH294:AH297)</f>
        <v>0</v>
      </c>
      <c r="AI283" s="351"/>
      <c r="AJ283" s="266">
        <f>DCOUNTA(AJ146:AJ155,1,AJ294:AJ297)-DCOUNTA(AJ146:AJ147,1,AJ294:AJ297)</f>
        <v>1</v>
      </c>
      <c r="AK283" s="653"/>
      <c r="AL283" s="188">
        <f>DCOUNTA(AL146:AL155,1,AL294:AL297)-DCOUNTA(AL146:AL147,1,AL294:AL297)</f>
        <v>1</v>
      </c>
      <c r="AM283" s="351"/>
      <c r="AN283" s="266">
        <f>DCOUNTA(AN146:AN155,1,AN294:AN297)-DCOUNTA(AN146:AN147,1,AN294:AN297)</f>
        <v>3</v>
      </c>
      <c r="AO283" s="136"/>
      <c r="AP283" s="188">
        <f>DCOUNTA(AP146:AP155,1,AP294:AP297)-DCOUNTA(AP146:AP147,1,AP294:AP297)</f>
        <v>0</v>
      </c>
      <c r="AQ283" s="351"/>
      <c r="AR283" s="266">
        <f>DCOUNTA(AR146:AR155,1,AR294:AR297)-DCOUNTA(AR146:AR147,1,AR294:AR297)</f>
        <v>1</v>
      </c>
      <c r="AS283" s="136"/>
      <c r="AT283" s="266">
        <f>DCOUNTA(AT146:AT155,1,AT294:AT297)-DCOUNTA(AT146:AT147,1,AT294:AT297)</f>
        <v>0</v>
      </c>
      <c r="AU283" s="136"/>
      <c r="AV283" s="188">
        <f>DCOUNTA(AV146:AV155,1,AV294:AV297)-DCOUNTA(AV146:AV147,1,AV294:AV297)</f>
        <v>1</v>
      </c>
      <c r="AW283" s="351"/>
      <c r="AX283" s="188">
        <f>DCOUNTA(AX146:AX155,1,AX294:AX297)-DCOUNTA(AX146:AX147,1,AX294:AX297)</f>
        <v>0</v>
      </c>
      <c r="AY283" s="658"/>
      <c r="AZ283" s="188">
        <f>DCOUNTA(AZ146:AZ155,1,AZ294:AZ297)-DCOUNTA(AZ146:AZ147,1,AZ294:AZ297)</f>
        <v>3</v>
      </c>
      <c r="BA283" s="653"/>
      <c r="BB283" s="188">
        <f>DCOUNTA(BB146:BB155,1,BB294:BB297)-DCOUNTA(BB146:BB147,1,BB294:BB297)</f>
        <v>1</v>
      </c>
      <c r="BC283" s="351"/>
      <c r="BD283" s="188">
        <f>DCOUNTA(BD146:BD155,1,BD294:BD297)-DCOUNTA(BD146:BD147,1,BD294:BD297)</f>
        <v>0</v>
      </c>
      <c r="BE283" s="653"/>
      <c r="BF283" s="188">
        <f>DCOUNTA(BF146:BF155,1,BF294:BF297)-DCOUNTA(BF146:BF147,1,BF294:BF297)</f>
        <v>3</v>
      </c>
      <c r="BG283" s="351"/>
      <c r="BH283" s="188">
        <f>DCOUNTA(BH146:BH155,1,BH294:BH297)-DCOUNTA(BH146:BH147,1,BH294:BH297)</f>
        <v>0</v>
      </c>
      <c r="BI283" s="351"/>
      <c r="BJ283" s="188">
        <f>DCOUNTA(BJ146:BJ155,1,BJ294:BJ297)-DCOUNTA(BJ146:BJ147,1,BJ294:BJ297)</f>
        <v>0</v>
      </c>
      <c r="BK283" s="351"/>
      <c r="BL283" s="188">
        <f>DCOUNTA(BL146:BL155,1,BL294:BL297)-DCOUNTA(BL146:BL147,1,BL294:BL297)</f>
        <v>1</v>
      </c>
      <c r="BM283" s="351"/>
      <c r="BN283" s="266">
        <f>DCOUNTA(BN146:BN155,1,BN294:BN297)-DCOUNTA(BN146:BN147,1,BN294:BN297)</f>
        <v>8</v>
      </c>
      <c r="BO283" s="136"/>
      <c r="BP283" s="188">
        <f>DCOUNTA(BP146:BP155,1,BP294:BP297)-DCOUNTA(BP146:BP147,1,BP294:BP297)</f>
        <v>1</v>
      </c>
      <c r="BQ283" s="659"/>
      <c r="BR283" s="188">
        <f>DCOUNTA(BR146:BR155,1,BR294:BR297)-DCOUNTA(BR146:BR147,1,BR294:BR297)</f>
        <v>0</v>
      </c>
      <c r="BS283" s="351"/>
      <c r="BT283" s="188">
        <f>DCOUNTA(BT146:BT155,1,BT294:BT297)-DCOUNTA(BT146:BT147,1,BT294:BT297)</f>
        <v>2</v>
      </c>
      <c r="BU283" s="351"/>
      <c r="BV283" s="188">
        <f>DCOUNTA(BV146:BV155,1,BV294:BV297)-DCOUNTA(BV146:BV147,1,BV294:BV297)</f>
        <v>5</v>
      </c>
      <c r="BW283" s="174"/>
      <c r="BX283" s="266">
        <f>DCOUNTA(BX146:BX155,1,BX294:BX297)-DCOUNTA(BX146:BX147,1,BX294:BX297)</f>
        <v>1</v>
      </c>
      <c r="BY283" s="136"/>
      <c r="BZ283" s="188">
        <f>DCOUNTA(BZ146:BZ155,1,BZ294:BZ297)-DCOUNTA(BZ146:BZ147,1,BZ294:BZ297)</f>
        <v>0</v>
      </c>
      <c r="CA283" s="351"/>
      <c r="CB283" s="188">
        <f>DCOUNTA(CB146:CB155,1,CB294:CB297)-DCOUNTA(CB146:CB147,1,CB294:CB297)</f>
        <v>4</v>
      </c>
      <c r="CC283" s="351"/>
      <c r="CD283" s="266">
        <f>DCOUNTA(CD146:CD155,1,CD294:CD297)-DCOUNTA(CD146:CD147,1,CD294:CD297)</f>
        <v>2</v>
      </c>
      <c r="CE283" s="136"/>
      <c r="CF283" s="188">
        <f>DCOUNTA(CF146:CF155,1,CF294:CF297)-DCOUNTA(CF146:CF147,1,CF294:CF297)</f>
        <v>4</v>
      </c>
      <c r="CG283" s="351"/>
      <c r="CH283" s="188">
        <f>DCOUNTA(CH146:CH155,1,CH294:CH297)-DCOUNTA(CH146:CH147,1,CH294:CH297)</f>
        <v>8</v>
      </c>
      <c r="CI283" s="351"/>
      <c r="CJ283" s="188">
        <f>DCOUNTA(CJ146:CJ155,1,CJ294:CJ297)-DCOUNTA(CJ146:CJ147,1,CJ294:CJ297)</f>
        <v>3</v>
      </c>
      <c r="CK283" s="351"/>
      <c r="CL283" s="188">
        <f>DCOUNTA(CL146:CL155,1,CL294:CL297)-DCOUNTA(CL146:CL147,1,CL294:CL297)</f>
        <v>8</v>
      </c>
      <c r="CM283" s="351"/>
      <c r="CN283" s="188">
        <f>DCOUNTA(CN146:CN155,1,CN294:CN297)-DCOUNTA(CN146:CN147,1,CN294:CN297)</f>
        <v>0</v>
      </c>
      <c r="CO283" s="351"/>
      <c r="CP283" s="188">
        <f>DCOUNTA(CP146:CP155,1,CP294:CP297)-DCOUNTA(CP146:CP147,1,CP294:CP297)</f>
        <v>1</v>
      </c>
      <c r="CQ283" s="351"/>
      <c r="CR283" s="188">
        <f>DCOUNTA(CR146:CR155,1,CR294:CR297)-DCOUNTA(CR146:CR147,1,CR294:CR297)</f>
        <v>0</v>
      </c>
      <c r="CS283" s="351"/>
      <c r="CT283" s="188">
        <f>DCOUNTA(CT146:CT155,1,CT294:CT297)-DCOUNTA(CT146:CT147,1,CT294:CT297)</f>
        <v>8</v>
      </c>
      <c r="CU283" s="351"/>
      <c r="CV283" s="188">
        <f>DCOUNTA(CV146:CV155,1,CV294:CV297)-DCOUNTA(CV146:CV147,1,CV294:CV297)</f>
        <v>4</v>
      </c>
      <c r="CW283" s="660"/>
      <c r="CX283" s="188">
        <f>DCOUNTA(CX146:CX155,1,CX294:CX297)-DCOUNTA(CX146:CX147,1,CX294:CX297)</f>
        <v>3</v>
      </c>
      <c r="CY283" s="660"/>
      <c r="CZ283" s="188">
        <f>DCOUNTA(CZ146:CZ155,1,CZ294:CZ297)-DCOUNTA(CZ146:CZ147,1,CZ294:CZ297)</f>
        <v>4</v>
      </c>
      <c r="DA283" s="660"/>
      <c r="DB283" s="136"/>
      <c r="DC283" s="136">
        <f t="shared" si="24"/>
        <v>1</v>
      </c>
      <c r="DD283" s="136">
        <f t="shared" si="25"/>
        <v>1</v>
      </c>
      <c r="DE283" s="136" t="s">
        <v>3119</v>
      </c>
      <c r="DF283" s="136"/>
      <c r="DG283" s="136"/>
      <c r="DH283" s="136"/>
      <c r="DI283" s="136"/>
      <c r="DJ283" s="136"/>
      <c r="DK283" s="136"/>
      <c r="DL283" s="136"/>
      <c r="DM283" s="136"/>
      <c r="DN283" s="136"/>
      <c r="DO283" s="136"/>
      <c r="DP283" s="136"/>
      <c r="DQ283" s="136"/>
      <c r="DR283" s="136"/>
    </row>
    <row r="284" spans="1:122" ht="18.75" x14ac:dyDescent="0.3">
      <c r="A284" s="136"/>
      <c r="B284" s="663">
        <f>COUNT(B158:B165)</f>
        <v>8</v>
      </c>
      <c r="C284" s="664" t="s">
        <v>3120</v>
      </c>
      <c r="D284" s="266">
        <f>DCOUNT(D157:D165,1,D294:D297)</f>
        <v>6</v>
      </c>
      <c r="E284" s="266"/>
      <c r="F284" s="266">
        <f>DCOUNTA(F157:F165,1,F294:F297)</f>
        <v>0</v>
      </c>
      <c r="G284" s="343"/>
      <c r="H284" s="266">
        <f>DCOUNTA(H157:H165,1,H294:H297)</f>
        <v>0</v>
      </c>
      <c r="I284" s="649"/>
      <c r="J284" s="266">
        <f>DCOUNTA(J157:J165,1,J294:J297)</f>
        <v>5</v>
      </c>
      <c r="K284" s="136"/>
      <c r="L284" s="266">
        <f>DCOUNTA(L157:L165,1,L294:L297)</f>
        <v>0</v>
      </c>
      <c r="M284" s="653"/>
      <c r="N284" s="266">
        <f>DCOUNTA(N157:N165,1,N294:N297)</f>
        <v>4</v>
      </c>
      <c r="O284" s="136"/>
      <c r="P284" s="266">
        <f>DCOUNTA(P157:P165,1,P294:P297)</f>
        <v>8</v>
      </c>
      <c r="Q284" s="655"/>
      <c r="R284" s="266">
        <f>DCOUNTA(R157:R165,1,R294:R297)</f>
        <v>8</v>
      </c>
      <c r="S284" s="351"/>
      <c r="T284" s="266">
        <f>DCOUNTA(T157:T165,1,T294:T297)</f>
        <v>4</v>
      </c>
      <c r="U284" s="651"/>
      <c r="V284" s="266">
        <f>DCOUNTA(V157:V165,1,V294:V297)</f>
        <v>2</v>
      </c>
      <c r="W284" s="657"/>
      <c r="X284" s="266">
        <f>DCOUNTA(X157:X165,1,X294:X297)</f>
        <v>0</v>
      </c>
      <c r="Y284" s="351"/>
      <c r="Z284" s="266">
        <f>DCOUNTA(Z157:Z165,1,Z294:Z297)</f>
        <v>6</v>
      </c>
      <c r="AA284" s="351"/>
      <c r="AB284" s="266">
        <f>DCOUNTA(AB157:AB165,1,AB294:AB297)</f>
        <v>4</v>
      </c>
      <c r="AC284" s="351"/>
      <c r="AD284" s="266">
        <f>DCOUNTA(AD157:AD165,1,AD294:AD297)</f>
        <v>1</v>
      </c>
      <c r="AE284" s="343"/>
      <c r="AF284" s="266">
        <f>DCOUNTA(AF157:AF165,1,AF294:AF297)</f>
        <v>5</v>
      </c>
      <c r="AG284" s="343"/>
      <c r="AH284" s="266">
        <f>DCOUNTA(AH157:AH165,1,AH294:AH297)</f>
        <v>1</v>
      </c>
      <c r="AI284" s="351"/>
      <c r="AJ284" s="266">
        <f>DCOUNTA(AJ157:AJ165,1,AJ294:AJ297)</f>
        <v>1</v>
      </c>
      <c r="AK284" s="653"/>
      <c r="AL284" s="188">
        <f>DCOUNTA(AL157:AL165,1,AL294:AL297)</f>
        <v>6</v>
      </c>
      <c r="AM284" s="351"/>
      <c r="AN284" s="266">
        <f>DCOUNTA(AN157:AN165,1,AN294:AN297)</f>
        <v>5</v>
      </c>
      <c r="AO284" s="136"/>
      <c r="AP284" s="188">
        <f>DCOUNTA(AP157:AP165,1,AP294:AP297)</f>
        <v>5</v>
      </c>
      <c r="AQ284" s="351"/>
      <c r="AR284" s="266">
        <f>DCOUNTA(AR157:AR165,1,AR294:AR297)</f>
        <v>0</v>
      </c>
      <c r="AS284" s="136"/>
      <c r="AT284" s="266">
        <f>DCOUNTA(AT157:AT165,1,AT294:AT297)</f>
        <v>1</v>
      </c>
      <c r="AU284" s="136"/>
      <c r="AV284" s="188">
        <f>DCOUNTA(AV157:AV165,1,AV294:AV297)</f>
        <v>1</v>
      </c>
      <c r="AW284" s="351"/>
      <c r="AX284" s="188">
        <f>DCOUNTA(AX157:AX165,1,AX294:AX297)</f>
        <v>6</v>
      </c>
      <c r="AY284" s="658"/>
      <c r="AZ284" s="188">
        <f>DCOUNTA(AZ157:AZ165,1,AZ294:AZ297)</f>
        <v>7</v>
      </c>
      <c r="BA284" s="653"/>
      <c r="BB284" s="188">
        <f>DCOUNTA(BB157:BB165,1,BB294:BB297)</f>
        <v>0</v>
      </c>
      <c r="BC284" s="351"/>
      <c r="BD284" s="188">
        <f>DCOUNTA(BD157:BD165,1,BD294:BD297)</f>
        <v>0</v>
      </c>
      <c r="BE284" s="653"/>
      <c r="BF284" s="188">
        <f>DCOUNTA(BF157:BF165,1,BF294:BF297)</f>
        <v>6</v>
      </c>
      <c r="BG284" s="351"/>
      <c r="BH284" s="188">
        <f>DCOUNTA(BH157:BH165,1,BH294:BH297)</f>
        <v>0</v>
      </c>
      <c r="BI284" s="351"/>
      <c r="BJ284" s="188">
        <f>DCOUNTA(BJ157:BJ165,1,BJ294:BJ297)</f>
        <v>0</v>
      </c>
      <c r="BK284" s="351"/>
      <c r="BL284" s="188">
        <f>DCOUNTA(BL157:BL165,1,BL294:BL297)</f>
        <v>4</v>
      </c>
      <c r="BM284" s="351"/>
      <c r="BN284" s="266">
        <f>DCOUNTA(BN157:BN165,1,BN294:BN297)</f>
        <v>6</v>
      </c>
      <c r="BO284" s="136"/>
      <c r="BP284" s="188">
        <f>DCOUNTA(BP157:BP165,1,BP294:BP297)</f>
        <v>1</v>
      </c>
      <c r="BQ284" s="659"/>
      <c r="BR284" s="188">
        <f>DCOUNTA(BR157:BR165,1,BR294:BR297)</f>
        <v>6</v>
      </c>
      <c r="BS284" s="351"/>
      <c r="BT284" s="188">
        <f>DCOUNTA(BT157:BT165,1,BT294:BT297)</f>
        <v>1</v>
      </c>
      <c r="BU284" s="351"/>
      <c r="BV284" s="188">
        <f>DCOUNTA(BV157:BV165,1,BV294:BV297)</f>
        <v>8</v>
      </c>
      <c r="BW284" s="174"/>
      <c r="BX284" s="266">
        <f>DCOUNTA(BX157:BX165,1,BX294:BX297)</f>
        <v>0</v>
      </c>
      <c r="BY284" s="136"/>
      <c r="BZ284" s="188">
        <f>DCOUNTA(BZ157:BZ165,1,BZ294:BZ297)</f>
        <v>0</v>
      </c>
      <c r="CA284" s="351"/>
      <c r="CB284" s="188">
        <f>DCOUNTA(CB157:CB165,1,CB294:CB297)</f>
        <v>8</v>
      </c>
      <c r="CC284" s="351"/>
      <c r="CD284" s="266">
        <f>DCOUNTA(CD157:CD165,1,CD294:CD297)</f>
        <v>1</v>
      </c>
      <c r="CE284" s="136"/>
      <c r="CF284" s="188">
        <f>DCOUNTA(CF157:CF165,1,CF294:CF297)</f>
        <v>2</v>
      </c>
      <c r="CG284" s="351"/>
      <c r="CH284" s="188">
        <f>DCOUNTA(CH157:CH165,1,CH294:CH297)</f>
        <v>8</v>
      </c>
      <c r="CI284" s="351"/>
      <c r="CJ284" s="188">
        <f>DCOUNTA(CJ157:CJ165,1,CJ294:CJ297)</f>
        <v>6</v>
      </c>
      <c r="CK284" s="351"/>
      <c r="CL284" s="188">
        <f>DCOUNTA(CL157:CL165,1,CL294:CL297)</f>
        <v>8</v>
      </c>
      <c r="CM284" s="351"/>
      <c r="CN284" s="188">
        <f>DCOUNTA(CN157:CN165,1,CN294:CN297)</f>
        <v>5</v>
      </c>
      <c r="CO284" s="351"/>
      <c r="CP284" s="188">
        <f>DCOUNTA(CP157:CP165,1,CP294:CP297)</f>
        <v>6</v>
      </c>
      <c r="CQ284" s="351"/>
      <c r="CR284" s="188">
        <f>DCOUNTA(CR157:CR165,1,CR294:CR297)</f>
        <v>0</v>
      </c>
      <c r="CS284" s="351"/>
      <c r="CT284" s="188">
        <f>DCOUNTA(CT157:CT165,1,CT294:CT297)</f>
        <v>8</v>
      </c>
      <c r="CU284" s="351"/>
      <c r="CV284" s="188">
        <f>DCOUNTA(CV157:CV165,1,CV294:CV297)</f>
        <v>5</v>
      </c>
      <c r="CW284" s="660"/>
      <c r="CX284" s="188">
        <f>DCOUNTA(CX157:CX165,1,CX294:CX297)</f>
        <v>7</v>
      </c>
      <c r="CY284" s="660"/>
      <c r="CZ284" s="188">
        <f>DCOUNTA(CZ157:CZ165,1,CZ294:CZ297)</f>
        <v>5</v>
      </c>
      <c r="DA284" s="660"/>
      <c r="DB284" s="136"/>
      <c r="DC284" s="136">
        <f t="shared" si="24"/>
        <v>0</v>
      </c>
      <c r="DD284" s="136">
        <f t="shared" si="25"/>
        <v>4.5</v>
      </c>
      <c r="DE284" s="136" t="s">
        <v>3121</v>
      </c>
      <c r="DF284" s="136"/>
      <c r="DG284" s="136"/>
      <c r="DH284" s="136"/>
      <c r="DI284" s="136"/>
      <c r="DJ284" s="136"/>
      <c r="DK284" s="136"/>
      <c r="DL284" s="136"/>
      <c r="DM284" s="136"/>
      <c r="DN284" s="136"/>
      <c r="DO284" s="136"/>
      <c r="DP284" s="136"/>
      <c r="DQ284" s="136"/>
      <c r="DR284" s="136"/>
    </row>
    <row r="285" spans="1:122" ht="18.75" x14ac:dyDescent="0.3">
      <c r="A285" s="136"/>
      <c r="B285" s="663">
        <f>COUNT(B168:B172)</f>
        <v>5</v>
      </c>
      <c r="C285" s="664" t="s">
        <v>3122</v>
      </c>
      <c r="D285" s="266">
        <f>COUNT(D168:D172)</f>
        <v>0</v>
      </c>
      <c r="E285" s="266"/>
      <c r="F285" s="266">
        <f>DCOUNTA(F167:F172,1,F294:F297)</f>
        <v>0</v>
      </c>
      <c r="G285" s="343"/>
      <c r="H285" s="266">
        <f>DCOUNTA(H167:H172,1,H294:H297)</f>
        <v>5</v>
      </c>
      <c r="I285" s="649"/>
      <c r="J285" s="266">
        <f>DCOUNTA(J167:J172,1,J294:J297)</f>
        <v>1</v>
      </c>
      <c r="K285" s="136"/>
      <c r="L285" s="266">
        <f>DCOUNTA(L167:L172,1,L294:L297)</f>
        <v>1</v>
      </c>
      <c r="M285" s="653"/>
      <c r="N285" s="266">
        <f>DCOUNTA(N167:N172,1,N294:N297)</f>
        <v>0</v>
      </c>
      <c r="O285" s="136"/>
      <c r="P285" s="266">
        <f>DCOUNTA(P167:P172,1,P294:P297)</f>
        <v>5</v>
      </c>
      <c r="Q285" s="655"/>
      <c r="R285" s="266">
        <f>DCOUNTA(R167:R172,1,R294:R297)</f>
        <v>5</v>
      </c>
      <c r="S285" s="351"/>
      <c r="T285" s="266">
        <f>DCOUNTA(T167:T172,1,T294:T297)</f>
        <v>4</v>
      </c>
      <c r="U285" s="651"/>
      <c r="V285" s="266">
        <f>DCOUNTA(V167:V172,1,V294:V297)</f>
        <v>4</v>
      </c>
      <c r="W285" s="657"/>
      <c r="X285" s="266">
        <f>DCOUNTA(X167:X172,1,X294:X297)</f>
        <v>0</v>
      </c>
      <c r="Y285" s="351"/>
      <c r="Z285" s="266">
        <f>DCOUNTA(Z167:Z172,1,Z294:Z297)</f>
        <v>5</v>
      </c>
      <c r="AA285" s="351"/>
      <c r="AB285" s="266">
        <f>DCOUNTA(AB167:AB172,1,AB294:AB297)</f>
        <v>0</v>
      </c>
      <c r="AC285" s="351"/>
      <c r="AD285" s="266">
        <f>DCOUNTA(AD167:AD172,1,AD294:AD297)</f>
        <v>1</v>
      </c>
      <c r="AE285" s="343"/>
      <c r="AF285" s="266">
        <f>DCOUNTA(AF167:AF172,1,AF294:AF297)</f>
        <v>0</v>
      </c>
      <c r="AG285" s="343"/>
      <c r="AH285" s="266">
        <f>DCOUNTA(AH167:AH172,1,AH294:AH297)</f>
        <v>5</v>
      </c>
      <c r="AI285" s="351"/>
      <c r="AJ285" s="266">
        <f>DCOUNTA(AJ167:AJ172,1,AJ294:AJ297)</f>
        <v>4</v>
      </c>
      <c r="AK285" s="653"/>
      <c r="AL285" s="188">
        <f>DCOUNTA(AL167:AL172,1,AL294:AL297)</f>
        <v>0</v>
      </c>
      <c r="AM285" s="351"/>
      <c r="AN285" s="266">
        <f>DCOUNTA(AN167:AN172,1,AN294:AN297)</f>
        <v>3</v>
      </c>
      <c r="AO285" s="136"/>
      <c r="AP285" s="188">
        <f>DCOUNTA(AP167:AP172,1,AP294:AP297)</f>
        <v>0</v>
      </c>
      <c r="AQ285" s="351"/>
      <c r="AR285" s="266">
        <f>DCOUNTA(AR167:AR172,1,AR294:AR297)</f>
        <v>0</v>
      </c>
      <c r="AS285" s="136"/>
      <c r="AT285" s="266">
        <f>DCOUNTA(AT167:AT172,1,AT294:AT297)</f>
        <v>0</v>
      </c>
      <c r="AU285" s="136"/>
      <c r="AV285" s="188">
        <f>DCOUNTA(AV167:AV172,1,AV294:AV297)</f>
        <v>0</v>
      </c>
      <c r="AW285" s="351"/>
      <c r="AX285" s="188">
        <f>DCOUNTA(AX167:AX172,1,AX294:AX297)</f>
        <v>4</v>
      </c>
      <c r="AY285" s="658"/>
      <c r="AZ285" s="188">
        <f>DCOUNTA(AZ167:AZ172,1,AZ294:AZ297)</f>
        <v>4</v>
      </c>
      <c r="BA285" s="653"/>
      <c r="BB285" s="188">
        <f>DCOUNTA(BB167:BB172,1,BB294:BB297)</f>
        <v>0</v>
      </c>
      <c r="BC285" s="351"/>
      <c r="BD285" s="188">
        <f>DCOUNTA(BD167:BD172,1,BD294:BD297)</f>
        <v>0</v>
      </c>
      <c r="BE285" s="653"/>
      <c r="BF285" s="188">
        <f>DCOUNTA(BF167:BF172,1,BF294:BF297)</f>
        <v>4</v>
      </c>
      <c r="BG285" s="351"/>
      <c r="BH285" s="188">
        <f>DCOUNTA(BH167:BH172,1,BH294:BH297)</f>
        <v>2</v>
      </c>
      <c r="BI285" s="351"/>
      <c r="BJ285" s="188">
        <f>DCOUNTA(BJ167:BJ172,1,BJ294:BJ297)</f>
        <v>0</v>
      </c>
      <c r="BK285" s="351"/>
      <c r="BL285" s="188">
        <f>DCOUNTA(BL167:BL172,1,BL294:BL297)</f>
        <v>5</v>
      </c>
      <c r="BM285" s="351"/>
      <c r="BN285" s="266">
        <f>DCOUNTA(BN167:BN172,1,BN294:BN297)</f>
        <v>5</v>
      </c>
      <c r="BO285" s="136"/>
      <c r="BP285" s="188">
        <f>DCOUNTA(BP167:BP172,1,BP294:BP297)</f>
        <v>5</v>
      </c>
      <c r="BQ285" s="659"/>
      <c r="BR285" s="188">
        <f>DCOUNTA(BR167:BR172,1,BR294:BR297)</f>
        <v>3</v>
      </c>
      <c r="BS285" s="351"/>
      <c r="BT285" s="188">
        <f>DCOUNTA(BT167:BT172,1,BT294:BT297)</f>
        <v>0</v>
      </c>
      <c r="BU285" s="351"/>
      <c r="BV285" s="188">
        <f>DCOUNTA(BV167:BV172,1,BV294:BV297)</f>
        <v>4</v>
      </c>
      <c r="BW285" s="174"/>
      <c r="BX285" s="266">
        <f>DCOUNTA(BX167:BX172,1,BX294:BX297)</f>
        <v>1</v>
      </c>
      <c r="BY285" s="136"/>
      <c r="BZ285" s="188">
        <f>DCOUNTA(BZ167:BZ172,1,BZ294:BZ297)</f>
        <v>0</v>
      </c>
      <c r="CA285" s="351"/>
      <c r="CB285" s="188">
        <f>DCOUNTA(CB167:CB172,1,CB294:CB297)</f>
        <v>4</v>
      </c>
      <c r="CC285" s="351"/>
      <c r="CD285" s="266">
        <f>DCOUNTA(CD167:CD172,1,CD294:CD297)</f>
        <v>0</v>
      </c>
      <c r="CE285" s="136"/>
      <c r="CF285" s="188">
        <f>DCOUNTA(CF167:CF172,1,CF294:CF297)</f>
        <v>0</v>
      </c>
      <c r="CG285" s="351"/>
      <c r="CH285" s="188">
        <f>DCOUNTA(CH167:CH172,1,CH294:CH297)</f>
        <v>5</v>
      </c>
      <c r="CI285" s="351"/>
      <c r="CJ285" s="188">
        <f>DCOUNTA(CJ167:CJ172,1,CJ294:CJ297)</f>
        <v>5</v>
      </c>
      <c r="CK285" s="351"/>
      <c r="CL285" s="188">
        <f>DCOUNTA(CL167:CL172,1,CL294:CL297)</f>
        <v>1</v>
      </c>
      <c r="CM285" s="351"/>
      <c r="CN285" s="188">
        <f>DCOUNTA(CN167:CN172,1,CN294:CN297)</f>
        <v>4</v>
      </c>
      <c r="CO285" s="351"/>
      <c r="CP285" s="188">
        <f>DCOUNTA(CP167:CP172,1,CP294:CP297)</f>
        <v>0</v>
      </c>
      <c r="CQ285" s="351"/>
      <c r="CR285" s="188">
        <f>DCOUNTA(CR167:CR172,1,CR294:CR297)</f>
        <v>0</v>
      </c>
      <c r="CS285" s="351"/>
      <c r="CT285" s="188">
        <f>DCOUNTA(CT167:CT172,1,CT294:CT297)</f>
        <v>5</v>
      </c>
      <c r="CU285" s="351"/>
      <c r="CV285" s="188">
        <f>DCOUNTA(CV167:CV172,1,CV294:CV297)</f>
        <v>5</v>
      </c>
      <c r="CW285" s="660"/>
      <c r="CX285" s="188">
        <f>DCOUNTA(CX167:CX172,1,CX294:CX297)</f>
        <v>5</v>
      </c>
      <c r="CY285" s="660"/>
      <c r="CZ285" s="188">
        <f>DCOUNTA(CZ167:CZ172,1,CZ294:CZ297)</f>
        <v>4</v>
      </c>
      <c r="DA285" s="660"/>
      <c r="DB285" s="136"/>
      <c r="DC285" s="136">
        <f t="shared" si="24"/>
        <v>1</v>
      </c>
      <c r="DD285" s="136">
        <f t="shared" si="25"/>
        <v>2.5</v>
      </c>
      <c r="DE285" s="136" t="s">
        <v>3123</v>
      </c>
      <c r="DF285" s="136"/>
      <c r="DG285" s="136"/>
      <c r="DH285" s="136"/>
      <c r="DI285" s="136"/>
      <c r="DJ285" s="136"/>
      <c r="DK285" s="136"/>
      <c r="DL285" s="136"/>
      <c r="DM285" s="136"/>
      <c r="DN285" s="136"/>
      <c r="DO285" s="136"/>
      <c r="DP285" s="136"/>
      <c r="DQ285" s="136"/>
      <c r="DR285" s="136"/>
    </row>
    <row r="286" spans="1:122" ht="18.75" x14ac:dyDescent="0.3">
      <c r="A286" s="136"/>
      <c r="B286" s="663">
        <f>COUNT(B174:B189)</f>
        <v>15</v>
      </c>
      <c r="C286" s="664" t="s">
        <v>3124</v>
      </c>
      <c r="D286" s="266">
        <f>DCOUNT(D174:D189,1,D294:D297)</f>
        <v>10</v>
      </c>
      <c r="E286" s="266"/>
      <c r="F286" s="266">
        <f>DCOUNTA(F174:F189,1,F294:F297)</f>
        <v>0</v>
      </c>
      <c r="G286" s="343"/>
      <c r="H286" s="266">
        <f>DCOUNTA(H174:H189,1,H294:H297)</f>
        <v>12</v>
      </c>
      <c r="I286" s="649"/>
      <c r="J286" s="266">
        <f>DCOUNTA(J174:J189,1,J294:J297)</f>
        <v>9</v>
      </c>
      <c r="K286" s="136"/>
      <c r="L286" s="266">
        <f>DCOUNTA(L174:L189,1,L294:L297)</f>
        <v>1</v>
      </c>
      <c r="M286" s="653"/>
      <c r="N286" s="266">
        <f>DCOUNTA(N174:N189,1,N294:N297)</f>
        <v>2</v>
      </c>
      <c r="O286" s="136"/>
      <c r="P286" s="266">
        <f>DCOUNTA(P174:P189,1,P294:P297)</f>
        <v>10</v>
      </c>
      <c r="Q286" s="655"/>
      <c r="R286" s="266">
        <f>DCOUNTA(R174:R189,1,R294:R297)</f>
        <v>10</v>
      </c>
      <c r="S286" s="351"/>
      <c r="T286" s="266">
        <f>DCOUNTA(T174:T189,1,T294:T297)</f>
        <v>10</v>
      </c>
      <c r="U286" s="651"/>
      <c r="V286" s="266">
        <f>DCOUNTA(V174:V189,1,V294:V297)</f>
        <v>13</v>
      </c>
      <c r="W286" s="657"/>
      <c r="X286" s="266">
        <f>DCOUNTA(X174:X189,1,X294:X297)</f>
        <v>8</v>
      </c>
      <c r="Y286" s="351"/>
      <c r="Z286" s="266">
        <f>DCOUNTA(Z174:Z189,1,Z294:Z297)</f>
        <v>14</v>
      </c>
      <c r="AA286" s="351"/>
      <c r="AB286" s="266">
        <f>DCOUNTA(AB174:AB189,1,AB294:AB297)</f>
        <v>9</v>
      </c>
      <c r="AC286" s="351"/>
      <c r="AD286" s="266">
        <f>DCOUNTA(AD174:AD189,1,AD294:AD297)</f>
        <v>9</v>
      </c>
      <c r="AE286" s="343"/>
      <c r="AF286" s="266">
        <f>DCOUNTA(AF174:AF189,1,AF294:AF297)</f>
        <v>3</v>
      </c>
      <c r="AG286" s="343"/>
      <c r="AH286" s="266">
        <f>DCOUNTA(AH174:AH189,1,AH294:AH297)</f>
        <v>13</v>
      </c>
      <c r="AI286" s="351"/>
      <c r="AJ286" s="266">
        <f>DCOUNTA(AJ174:AJ189,1,AJ294:AJ297)</f>
        <v>13</v>
      </c>
      <c r="AK286" s="653"/>
      <c r="AL286" s="188">
        <f>DCOUNTA(AL174:AL189,1,AL294:AL297)</f>
        <v>8</v>
      </c>
      <c r="AM286" s="351"/>
      <c r="AN286" s="266">
        <f>DCOUNTA(AN174:AN189,1,AN294:AN297)</f>
        <v>9</v>
      </c>
      <c r="AO286" s="136"/>
      <c r="AP286" s="188">
        <f>DCOUNTA(AP174:AP189,1,AP294:AP297)</f>
        <v>3</v>
      </c>
      <c r="AQ286" s="351"/>
      <c r="AR286" s="266">
        <f>DCOUNTA(AR174:AR189,1,AR294:AR297)</f>
        <v>11</v>
      </c>
      <c r="AS286" s="136"/>
      <c r="AT286" s="266">
        <f>DCOUNTA(AT174:AT189,1,AT294:AT297)</f>
        <v>1</v>
      </c>
      <c r="AU286" s="136"/>
      <c r="AV286" s="188">
        <f>DCOUNTA(AV174:AV189,1,AV294:AV297)</f>
        <v>1</v>
      </c>
      <c r="AW286" s="351"/>
      <c r="AX286" s="188">
        <f>DCOUNTA(AX174:AX189,1,AX294:AX297)</f>
        <v>12</v>
      </c>
      <c r="AY286" s="658"/>
      <c r="AZ286" s="188">
        <f>DCOUNTA(AZ174:AZ189,1,AZ294:AZ297)</f>
        <v>11</v>
      </c>
      <c r="BA286" s="653"/>
      <c r="BB286" s="188">
        <f>DCOUNTA(BB174:BB189,1,BB294:BB297)</f>
        <v>10</v>
      </c>
      <c r="BC286" s="351"/>
      <c r="BD286" s="188">
        <f>DCOUNTA(BD174:BD189,1,BD294:BD297)</f>
        <v>1</v>
      </c>
      <c r="BE286" s="653"/>
      <c r="BF286" s="188">
        <f>DCOUNTA(BF174:BF189,1,BF294:BF297)</f>
        <v>12</v>
      </c>
      <c r="BG286" s="351"/>
      <c r="BH286" s="188">
        <f>DCOUNTA(BH174:BH189,1,BH294:BH297)</f>
        <v>7</v>
      </c>
      <c r="BI286" s="351"/>
      <c r="BJ286" s="188">
        <f>DCOUNTA(BJ174:BJ189,1,BJ294:BJ297)</f>
        <v>0</v>
      </c>
      <c r="BK286" s="351"/>
      <c r="BL286" s="188">
        <f>DCOUNTA(BL174:BL189,1,BL294:BL297)</f>
        <v>7</v>
      </c>
      <c r="BM286" s="351"/>
      <c r="BN286" s="266">
        <f>DCOUNTA(BN174:BN189,1,BN294:BN297)</f>
        <v>14</v>
      </c>
      <c r="BO286" s="136"/>
      <c r="BP286" s="188">
        <f>DCOUNTA(BP174:BP189,1,BP294:BP297)</f>
        <v>6</v>
      </c>
      <c r="BQ286" s="659"/>
      <c r="BR286" s="188">
        <f>DCOUNTA(BR174:BR189,1,BR294:BR297)</f>
        <v>9</v>
      </c>
      <c r="BS286" s="351"/>
      <c r="BT286" s="188">
        <f>DCOUNTA(BT174:BT189,1,BT294:BT297)</f>
        <v>8</v>
      </c>
      <c r="BU286" s="351"/>
      <c r="BV286" s="188">
        <f>DCOUNTA(BV174:BV189,1,BV294:BV297)</f>
        <v>13</v>
      </c>
      <c r="BW286" s="174"/>
      <c r="BX286" s="266">
        <f>DCOUNTA(BX174:BX189,1,BX294:BX297)</f>
        <v>10</v>
      </c>
      <c r="BY286" s="136"/>
      <c r="BZ286" s="188">
        <f>DCOUNTA(BZ174:BZ189,1,BZ294:BZ297)</f>
        <v>0</v>
      </c>
      <c r="CA286" s="351"/>
      <c r="CB286" s="188">
        <f>DCOUNTA(CB174:CB189,1,CB294:CB297)</f>
        <v>2</v>
      </c>
      <c r="CC286" s="351"/>
      <c r="CD286" s="266">
        <f>DCOUNTA(CD174:CD189,1,CD294:CD297)</f>
        <v>5</v>
      </c>
      <c r="CE286" s="136"/>
      <c r="CF286" s="188">
        <f>DCOUNTA(CF174:CF189,1,CF294:CF297)</f>
        <v>10</v>
      </c>
      <c r="CG286" s="351"/>
      <c r="CH286" s="188">
        <f>DCOUNTA(CH174:CH189,1,CH294:CH297)</f>
        <v>13</v>
      </c>
      <c r="CI286" s="351"/>
      <c r="CJ286" s="188">
        <f>DCOUNTA(CJ174:CJ189,1,CJ294:CJ297)</f>
        <v>12</v>
      </c>
      <c r="CK286" s="351"/>
      <c r="CL286" s="188">
        <f>DCOUNTA(CL174:CL189,1,CL294:CL297)</f>
        <v>12</v>
      </c>
      <c r="CM286" s="351"/>
      <c r="CN286" s="188">
        <f>DCOUNTA(CN174:CN189,1,CN294:CN297)</f>
        <v>11</v>
      </c>
      <c r="CO286" s="351"/>
      <c r="CP286" s="188">
        <f>DCOUNTA(CP174:CP189,1,CP294:CP297)</f>
        <v>11</v>
      </c>
      <c r="CQ286" s="351"/>
      <c r="CR286" s="188">
        <f>DCOUNTA(CR174:CR189,1,CR294:CR297)</f>
        <v>1</v>
      </c>
      <c r="CS286" s="351"/>
      <c r="CT286" s="188">
        <f>DCOUNTA(CT174:CT189,1,CT294:CT297)</f>
        <v>13</v>
      </c>
      <c r="CU286" s="351"/>
      <c r="CV286" s="188">
        <f>DCOUNTA(CV174:CV189,1,CV294:CV297)</f>
        <v>13</v>
      </c>
      <c r="CW286" s="660"/>
      <c r="CX286" s="188">
        <f>DCOUNTA(CX174:CX189,1,CX294:CX297)</f>
        <v>14</v>
      </c>
      <c r="CY286" s="660"/>
      <c r="CZ286" s="188">
        <f>DCOUNTA(CZ174:CZ189,1,CZ294:CZ297)</f>
        <v>6</v>
      </c>
      <c r="DA286" s="660"/>
      <c r="DB286" s="136"/>
      <c r="DC286" s="136">
        <f t="shared" si="24"/>
        <v>10</v>
      </c>
      <c r="DD286" s="136">
        <f t="shared" si="25"/>
        <v>9.5</v>
      </c>
      <c r="DE286" s="136" t="s">
        <v>3125</v>
      </c>
      <c r="DF286" s="136"/>
      <c r="DG286" s="136"/>
      <c r="DH286" s="136"/>
      <c r="DI286" s="136"/>
      <c r="DJ286" s="136"/>
      <c r="DK286" s="136"/>
      <c r="DL286" s="136"/>
      <c r="DM286" s="136"/>
      <c r="DN286" s="136"/>
      <c r="DO286" s="136"/>
      <c r="DP286" s="136"/>
      <c r="DQ286" s="136"/>
      <c r="DR286" s="136"/>
    </row>
    <row r="287" spans="1:122" ht="18.75" x14ac:dyDescent="0.3">
      <c r="A287" s="136"/>
      <c r="B287" s="663">
        <f>COUNT(B192:B200)</f>
        <v>9</v>
      </c>
      <c r="C287" s="664" t="s">
        <v>3126</v>
      </c>
      <c r="D287" s="266">
        <f>DCOUNT(D191:D200,1,D294:D297)</f>
        <v>0</v>
      </c>
      <c r="E287" s="266"/>
      <c r="F287" s="266">
        <f>DCOUNTA(F191:F200,1,F294:F297)</f>
        <v>0</v>
      </c>
      <c r="G287" s="343"/>
      <c r="H287" s="266">
        <f>DCOUNTA(H191:H200,1,H294:H297)</f>
        <v>0</v>
      </c>
      <c r="I287" s="649"/>
      <c r="J287" s="266">
        <f>DCOUNTA(J191:J200,1,J294:J297)</f>
        <v>0</v>
      </c>
      <c r="K287" s="136"/>
      <c r="L287" s="266">
        <f>DCOUNTA(L191:L200,1,L294:L297)</f>
        <v>0</v>
      </c>
      <c r="M287" s="653"/>
      <c r="N287" s="266">
        <f>DCOUNTA(N191:N200,1,N294:N297)</f>
        <v>0</v>
      </c>
      <c r="O287" s="136"/>
      <c r="P287" s="266">
        <f>DCOUNTA(P191:P200,1,P294:P297)</f>
        <v>0</v>
      </c>
      <c r="Q287" s="655"/>
      <c r="R287" s="266">
        <f>DCOUNTA(R191:R200,1,R294:R297)</f>
        <v>9</v>
      </c>
      <c r="S287" s="351"/>
      <c r="T287" s="266">
        <f>DCOUNTA(T191:T200,1,T294:T297)</f>
        <v>0</v>
      </c>
      <c r="U287" s="651"/>
      <c r="V287" s="266">
        <f>DCOUNTA(V191:V200,1,V294:V297)</f>
        <v>0</v>
      </c>
      <c r="W287" s="657"/>
      <c r="X287" s="266">
        <f>DCOUNTA(X191:X200,1,X294:X297)</f>
        <v>0</v>
      </c>
      <c r="Y287" s="351"/>
      <c r="Z287" s="266">
        <f>DCOUNTA(Z191:Z200,1,Z294:Z297)</f>
        <v>9</v>
      </c>
      <c r="AA287" s="351"/>
      <c r="AB287" s="266">
        <f>DCOUNTA(AB191:AB200,1,AB294:AB297)</f>
        <v>0</v>
      </c>
      <c r="AC287" s="351"/>
      <c r="AD287" s="266">
        <f>DCOUNTA(AD191:AD200,1,AD294:AD297)</f>
        <v>0</v>
      </c>
      <c r="AE287" s="343"/>
      <c r="AF287" s="266">
        <f>DCOUNTA(AF191:AF200,1,AF294:AF297)</f>
        <v>0</v>
      </c>
      <c r="AG287" s="343"/>
      <c r="AH287" s="266">
        <f>DCOUNTA(AH191:AH200,1,AH294:AH297)</f>
        <v>0</v>
      </c>
      <c r="AI287" s="351"/>
      <c r="AJ287" s="266">
        <f>DCOUNTA(AJ191:AJ200,1,AJ294:AJ297)</f>
        <v>0</v>
      </c>
      <c r="AK287" s="653"/>
      <c r="AL287" s="188">
        <f>DCOUNTA(AL191:AL200,1,AL294:AL297)</f>
        <v>0</v>
      </c>
      <c r="AM287" s="351"/>
      <c r="AN287" s="266">
        <f>DCOUNTA(AN191:AN200,1,AN294:AN297)</f>
        <v>0</v>
      </c>
      <c r="AO287" s="136"/>
      <c r="AP287" s="188">
        <f>DCOUNTA(AP191:AP200,1,AP294:AP297)</f>
        <v>0</v>
      </c>
      <c r="AQ287" s="351"/>
      <c r="AR287" s="266">
        <f>DCOUNTA(AR191:AR200,1,AR294:AR297)</f>
        <v>0</v>
      </c>
      <c r="AS287" s="136"/>
      <c r="AT287" s="266">
        <f>DCOUNTA(AT191:AT200,1,AT294:AT297)</f>
        <v>0</v>
      </c>
      <c r="AU287" s="136"/>
      <c r="AV287" s="188">
        <f>DCOUNTA(AV191:AV200,1,AV294:AV297)</f>
        <v>0</v>
      </c>
      <c r="AW287" s="351"/>
      <c r="AX287" s="188">
        <f>DCOUNTA(AX191:AX200,1,AX294:AX297)</f>
        <v>0</v>
      </c>
      <c r="AY287" s="658"/>
      <c r="AZ287" s="188">
        <f>DCOUNTA(AZ191:AZ200,1,AZ294:AZ297)</f>
        <v>0</v>
      </c>
      <c r="BA287" s="653"/>
      <c r="BB287" s="188">
        <f>DCOUNTA(BB191:BB200,1,BB294:BB297)</f>
        <v>0</v>
      </c>
      <c r="BC287" s="351"/>
      <c r="BD287" s="188">
        <f>DCOUNTA(BD191:BD200,1,BD294:BD297)</f>
        <v>0</v>
      </c>
      <c r="BE287" s="653"/>
      <c r="BF287" s="188">
        <f>DCOUNTA(BF191:BF200,1,BF294:BF297)</f>
        <v>0</v>
      </c>
      <c r="BG287" s="351"/>
      <c r="BH287" s="188">
        <f>DCOUNTA(BH191:BH200,1,BH294:BH297)</f>
        <v>0</v>
      </c>
      <c r="BI287" s="351"/>
      <c r="BJ287" s="188">
        <f>DCOUNTA(BJ191:BJ200,1,BJ294:BJ297)</f>
        <v>0</v>
      </c>
      <c r="BK287" s="351"/>
      <c r="BL287" s="188">
        <f>DCOUNTA(BL191:BL200,1,BL294:BL297)</f>
        <v>0</v>
      </c>
      <c r="BM287" s="351"/>
      <c r="BN287" s="266">
        <f>DCOUNTA(BN191:BN200,1,BN294:BN297)</f>
        <v>9</v>
      </c>
      <c r="BO287" s="136"/>
      <c r="BP287" s="188">
        <f>DCOUNTA(BP191:BP200,1,BP294:BP297)</f>
        <v>0</v>
      </c>
      <c r="BQ287" s="659"/>
      <c r="BR287" s="188">
        <f>DCOUNTA(BR191:BR200,1,BR294:BR297)</f>
        <v>0</v>
      </c>
      <c r="BS287" s="351"/>
      <c r="BT287" s="188">
        <f>DCOUNTA(BT191:BT200,1,BT294:BT297)</f>
        <v>0</v>
      </c>
      <c r="BU287" s="351"/>
      <c r="BV287" s="188">
        <f>DCOUNTA(BV191:BV200,1,BV294:BV297)</f>
        <v>0</v>
      </c>
      <c r="BW287" s="174"/>
      <c r="BX287" s="266">
        <f>DCOUNTA(BX191:BX200,1,BX294:BX297)</f>
        <v>0</v>
      </c>
      <c r="BY287" s="136"/>
      <c r="BZ287" s="188">
        <f>DCOUNTA(BZ191:BZ200,1,BZ294:BZ297)</f>
        <v>0</v>
      </c>
      <c r="CA287" s="351"/>
      <c r="CB287" s="188">
        <f>DCOUNTA(CB191:CB200,1,CB294:CB297)</f>
        <v>0</v>
      </c>
      <c r="CC287" s="351"/>
      <c r="CD287" s="266">
        <f>DCOUNTA(CD191:CD200,1,CD294:CD297)</f>
        <v>0</v>
      </c>
      <c r="CE287" s="136"/>
      <c r="CF287" s="188">
        <f>DCOUNTA(CF191:CF200,1,CF294:CF297)</f>
        <v>0</v>
      </c>
      <c r="CG287" s="351"/>
      <c r="CH287" s="188">
        <f>DCOUNTA(CH191:CH200,1,CH294:CH297)</f>
        <v>5</v>
      </c>
      <c r="CI287" s="351"/>
      <c r="CJ287" s="188">
        <f>DCOUNTA(CJ191:CJ200,1,CJ294:CJ297)</f>
        <v>0</v>
      </c>
      <c r="CK287" s="351"/>
      <c r="CL287" s="188">
        <f>DCOUNTA(CL191:CL200,1,CL294:CL297)</f>
        <v>1</v>
      </c>
      <c r="CM287" s="351"/>
      <c r="CN287" s="188">
        <f>DCOUNTA(CN191:CN200,1,CN294:CN297)</f>
        <v>0</v>
      </c>
      <c r="CO287" s="351"/>
      <c r="CP287" s="188">
        <f>DCOUNTA(CP191:CP200,1,CP294:CP297)</f>
        <v>0</v>
      </c>
      <c r="CQ287" s="351"/>
      <c r="CR287" s="188">
        <f>DCOUNTA(CR191:CR200,1,CR294:CR297)</f>
        <v>0</v>
      </c>
      <c r="CS287" s="351"/>
      <c r="CT287" s="188">
        <f>DCOUNTA(CT191:CT200,1,CT294:CT297)</f>
        <v>9</v>
      </c>
      <c r="CU287" s="351"/>
      <c r="CV287" s="188">
        <f>DCOUNTA(CV191:CV200,1,CV294:CV297)</f>
        <v>1</v>
      </c>
      <c r="CW287" s="660"/>
      <c r="CX287" s="188">
        <f>DCOUNTA(CX191:CX200,1,CX294:CX297)</f>
        <v>0</v>
      </c>
      <c r="CY287" s="660"/>
      <c r="CZ287" s="188">
        <f>DCOUNTA(CZ191:CZ200,1,CZ294:CZ297)</f>
        <v>0</v>
      </c>
      <c r="DA287" s="660"/>
      <c r="DB287" s="136"/>
      <c r="DC287" s="136">
        <f t="shared" si="24"/>
        <v>0</v>
      </c>
      <c r="DD287" s="136">
        <f t="shared" si="25"/>
        <v>0</v>
      </c>
      <c r="DE287" s="136"/>
      <c r="DF287" s="136"/>
      <c r="DG287" s="136"/>
      <c r="DH287" s="136"/>
      <c r="DI287" s="136"/>
      <c r="DJ287" s="136"/>
      <c r="DK287" s="136"/>
      <c r="DL287" s="136"/>
      <c r="DM287" s="136"/>
      <c r="DN287" s="136"/>
      <c r="DO287" s="136"/>
      <c r="DP287" s="136"/>
      <c r="DQ287" s="136"/>
      <c r="DR287" s="136"/>
    </row>
    <row r="288" spans="1:122" ht="18.75" x14ac:dyDescent="0.3">
      <c r="A288" s="136"/>
      <c r="B288" s="663">
        <f>COUNT(B210,B213:B215)</f>
        <v>4</v>
      </c>
      <c r="C288" s="664" t="s">
        <v>3127</v>
      </c>
      <c r="D288" s="266">
        <f>DCOUNT(D202:D215,1,D294:D297)-DCOUNT(D202:D209,1,D294:D297)-COUNT(D211:D212)</f>
        <v>2</v>
      </c>
      <c r="E288" s="266"/>
      <c r="F288" s="266">
        <f>DCOUNTA(F202:F215,1,F294:F297)-DCOUNTA(F202:F209,1,F294:F297)-COUNT(F211:F212)</f>
        <v>1</v>
      </c>
      <c r="G288" s="343"/>
      <c r="H288" s="266">
        <f>DCOUNTA(H202:H215,1,H294:H297)-DCOUNTA(H202:H209,1,H294:H297)-COUNT(H211:H212)</f>
        <v>2</v>
      </c>
      <c r="I288" s="649"/>
      <c r="J288" s="266">
        <f>DCOUNTA(J202:J215,1,J294:J297)-DCOUNTA(J202:J209,1,J294:J297)-COUNT(J211:J212)</f>
        <v>3</v>
      </c>
      <c r="K288" s="136"/>
      <c r="L288" s="665">
        <f>DCOUNTA(L202:L215,1,L294:L297)-DCOUNTA(L202:L209,1,L294:L297)-COUNT(L211:L212)</f>
        <v>2</v>
      </c>
      <c r="M288" s="653"/>
      <c r="N288" s="266">
        <f>DCOUNTA(N202:N215,1,N294:N297)-DCOUNTA(N202:N209,1,N294:N297)-COUNT(N211:N212)</f>
        <v>2</v>
      </c>
      <c r="O288" s="136"/>
      <c r="P288" s="665">
        <f>DCOUNTA(P202:P215,1,P294:P297)-DCOUNTA(P202:P209,1,P294:P297)-COUNT(P211:P212)</f>
        <v>4</v>
      </c>
      <c r="Q288" s="655"/>
      <c r="R288" s="665">
        <f>DCOUNTA(R202:R215,1,R294:R297)-DCOUNTA(R202:R209,1,R294:R297)-COUNT(R211:R212)</f>
        <v>3</v>
      </c>
      <c r="S288" s="351"/>
      <c r="T288" s="665">
        <f>DCOUNTA(T202:T215,1,T294:T297)-DCOUNTA(T202:T209,1,T294:T297)-COUNT(T211:T212)</f>
        <v>3</v>
      </c>
      <c r="U288" s="651"/>
      <c r="V288" s="665">
        <f>DCOUNTA(V202:V215,1,V294:V297)-DCOUNTA(V202:V209,1,V294:V297)-COUNT(V211:V212)</f>
        <v>2</v>
      </c>
      <c r="W288" s="657"/>
      <c r="X288" s="665">
        <f>DCOUNTA(X202:X215,1,X294:X297)-DCOUNTA(X202:X209,1,X294:X297)-COUNT(X211:X212)</f>
        <v>3</v>
      </c>
      <c r="Y288" s="351"/>
      <c r="Z288" s="665">
        <f>DCOUNTA(Z202:Z215,1,Z294:Z297)-DCOUNTA(Z202:Z209,1,Z294:Z297)-COUNT(Z211:Z212)</f>
        <v>3</v>
      </c>
      <c r="AA288" s="351"/>
      <c r="AB288" s="665">
        <f>DCOUNTA(AB202:AB215,1,AB294:AB297)-DCOUNTA(AB202:AB209,1,AB294:AB297)-COUNT(AB211:AB212)</f>
        <v>2</v>
      </c>
      <c r="AC288" s="351"/>
      <c r="AD288" s="665">
        <f>DCOUNTA(AD202:AD215,1,AD294:AD297)-DCOUNTA(AD202:AD209,1,AD294:AD297)-COUNT(AD211:AD212)</f>
        <v>1</v>
      </c>
      <c r="AE288" s="343"/>
      <c r="AF288" s="665">
        <f>DCOUNTA(AF202:AF215,1,AF294:AF297)-DCOUNTA(AF202:AF209,1,AF294:AF297)-COUNT(AF211:AF212)</f>
        <v>2</v>
      </c>
      <c r="AG288" s="343"/>
      <c r="AH288" s="665">
        <f>DCOUNTA(AH202:AH215,1,AH294:AH297)-DCOUNTA(AH202:AH209,1,AH294:AH297)-COUNT(AH211:AH212)</f>
        <v>3</v>
      </c>
      <c r="AI288" s="351"/>
      <c r="AJ288" s="665">
        <f>DCOUNTA(AJ202:AJ215,1,AJ294:AJ297)-DCOUNTA(AJ202:AJ209,1,AJ294:AJ297)-COUNT(AJ211:AJ212)</f>
        <v>1</v>
      </c>
      <c r="AK288" s="653"/>
      <c r="AL288" s="666">
        <f>DCOUNTA(AL202:AL215,1,AL294:AL297)-DCOUNTA(AL202:AL209,1,AL294:AL297)-COUNT(AL211:AL212)</f>
        <v>1</v>
      </c>
      <c r="AM288" s="351"/>
      <c r="AN288" s="266">
        <f>DCOUNTA(AN202:AN215,1,AN294:AN297)-DCOUNTA(AN202:AN209,1,AN294:AN297)-COUNT(AN211:AN212)</f>
        <v>1</v>
      </c>
      <c r="AO288" s="136"/>
      <c r="AP288" s="666">
        <f>DCOUNTA(AP202:AP215,1,AP294:AP297)-DCOUNTA(AP202:AP209,1,AP294:AP297)-COUNT(AP211:AP212)</f>
        <v>2</v>
      </c>
      <c r="AQ288" s="351"/>
      <c r="AR288" s="266">
        <f>DCOUNTA(AR202:AR215,1,AR294:AR297)-DCOUNTA(AR202:AR209,1,AR294:AR297)-COUNT(AR211:AR212)</f>
        <v>1</v>
      </c>
      <c r="AS288" s="136"/>
      <c r="AT288" s="266">
        <f>DCOUNTA(AT202:AT215,1,AT294:AT297)-DCOUNTA(AT202:AT209,1,AT294:AT297)-COUNT(AT211:AT212)</f>
        <v>1</v>
      </c>
      <c r="AU288" s="136"/>
      <c r="AV288" s="666">
        <f>DCOUNTA(AV202:AV215,1,AV294:AV297)-DCOUNTA(AV202:AV209,1,AV294:AV297)-COUNT(AV211:AV212)</f>
        <v>1</v>
      </c>
      <c r="AW288" s="351"/>
      <c r="AX288" s="666">
        <f>DCOUNTA(AX202:AX215,1,AX294:AX297)-DCOUNTA(AX202:AX209,1,AX294:AX297)-COUNT(AX211:AX212)</f>
        <v>2</v>
      </c>
      <c r="AY288" s="658"/>
      <c r="AZ288" s="666">
        <f>DCOUNTA(AZ202:AZ215,1,AZ294:AZ297)-DCOUNTA(AZ202:AZ209,1,AZ294:AZ297)-COUNT(AZ211:AZ212)</f>
        <v>2</v>
      </c>
      <c r="BA288" s="653"/>
      <c r="BB288" s="666">
        <f>DCOUNTA(BB202:BB215,1,BB294:BB297)-DCOUNTA(BB202:BB209,1,BB294:BB297)-COUNT(BB211:BB212)</f>
        <v>1</v>
      </c>
      <c r="BC288" s="351"/>
      <c r="BD288" s="666">
        <f>DCOUNTA(BD202:BD215,1,BD294:BD297)-DCOUNTA(BD202:BD209,1,BD294:BD297)-COUNT(BD211:BD212)</f>
        <v>2</v>
      </c>
      <c r="BE288" s="653"/>
      <c r="BF288" s="666">
        <f>DCOUNTA(BF202:BF215,1,BF294:BF297)-DCOUNTA(BF202:BF209,1,BF294:BF297)-COUNT(BF211:BF212)</f>
        <v>2</v>
      </c>
      <c r="BG288" s="351"/>
      <c r="BH288" s="666">
        <f>DCOUNTA(BH202:BH215,1,BH294:BH297)-DCOUNTA(BH202:BH209,1,BH294:BH297)-COUNT(BH211:BH212)</f>
        <v>2</v>
      </c>
      <c r="BI288" s="351"/>
      <c r="BJ288" s="666">
        <f>DCOUNTA(BJ202:BJ215,1,BJ294:BJ297)-DCOUNTA(BJ202:BJ209,1,BJ294:BJ297)-COUNT(BJ211:BJ212)</f>
        <v>1</v>
      </c>
      <c r="BK288" s="351"/>
      <c r="BL288" s="666">
        <f>DCOUNTA(BL202:BL215,1,BL294:BL297)-DCOUNTA(BL202:BL209,1,BL294:BL297)-COUNT(BL211:BL212)</f>
        <v>1</v>
      </c>
      <c r="BM288" s="351"/>
      <c r="BN288" s="266">
        <f>DCOUNTA(BN202:BN215,1,BN294:BN297)-DCOUNTA(BN202:BN209,1,BN294:BN297)-COUNT(BN211:BN212)</f>
        <v>4</v>
      </c>
      <c r="BO288" s="136"/>
      <c r="BP288" s="666">
        <f>DCOUNTA(BP202:BP215,1,BP294:BP297)-DCOUNTA(BP202:BP209,1,BP294:BP297)-COUNT(BP211:BP212)</f>
        <v>2</v>
      </c>
      <c r="BQ288" s="659"/>
      <c r="BR288" s="666">
        <f>DCOUNTA(BR202:BR215,1,BR294:BR297)-DCOUNTA(BR202:BR209,1,BR294:BR297)-COUNT(BR211:BR212)</f>
        <v>1</v>
      </c>
      <c r="BS288" s="351"/>
      <c r="BT288" s="666">
        <f>DCOUNTA(BT202:BT215,1,BT294:BT297)-DCOUNTA(BT202:BT209,1,BT294:BT297)-COUNT(BT211:BT212)</f>
        <v>2</v>
      </c>
      <c r="BU288" s="351"/>
      <c r="BV288" s="666">
        <f>DCOUNTA(BV202:BV215,1,BV294:BV297)-DCOUNTA(BV202:BV209,1,BV294:BV297)-COUNT(BV211:BV212)</f>
        <v>3</v>
      </c>
      <c r="BW288" s="174"/>
      <c r="BX288" s="266">
        <f>DCOUNTA(BX202:BX215,1,BX294:BX297)-DCOUNTA(BX202:BX209,1,BX294:BX297)-COUNT(BX211:BX212)</f>
        <v>2</v>
      </c>
      <c r="BY288" s="136"/>
      <c r="BZ288" s="666">
        <f>DCOUNTA(BZ202:BZ215,1,BZ294:BZ297)-DCOUNTA(BZ202:BZ209,1,BZ294:BZ297)-COUNT(BZ211:BZ212)</f>
        <v>1</v>
      </c>
      <c r="CA288" s="351"/>
      <c r="CB288" s="666">
        <f>DCOUNTA(CB202:CB215,1,CB294:CB297)-DCOUNTA(CB202:CB209,1,CB294:CB297)-COUNT(CB211:CB212)</f>
        <v>1</v>
      </c>
      <c r="CC288" s="351"/>
      <c r="CD288" s="266">
        <f>DCOUNTA(CD202:CD215,1,CD294:CD297)-DCOUNTA(CD202:CD209,1,CD294:CD297)-COUNT(CD211:CD212)</f>
        <v>2</v>
      </c>
      <c r="CE288" s="136"/>
      <c r="CF288" s="666">
        <f>DCOUNTA(CF202:CF215,1,CF294:CF297)-DCOUNTA(CF202:CF209,1,CF294:CF297)-COUNT(CF211:CF212)</f>
        <v>2</v>
      </c>
      <c r="CG288" s="351"/>
      <c r="CH288" s="666">
        <f>DCOUNTA(CH202:CH215,1,CH294:CH297)-DCOUNTA(CH202:CH209,1,CH294:CH297)-COUNT(CH211:CH212)</f>
        <v>4</v>
      </c>
      <c r="CI288" s="351"/>
      <c r="CJ288" s="666">
        <f>DCOUNTA(CJ202:CJ215,1,CJ294:CJ297)-DCOUNTA(CJ202:CJ209,1,CJ294:CJ297)-COUNT(CJ211:CJ212)</f>
        <v>2</v>
      </c>
      <c r="CK288" s="351"/>
      <c r="CL288" s="666">
        <f>DCOUNTA(CL202:CL215,1,CL294:CL297)-DCOUNTA(CL202:CL209,1,CL294:CL297)-COUNT(CL211:CL212)</f>
        <v>1</v>
      </c>
      <c r="CM288" s="351"/>
      <c r="CN288" s="666">
        <f>DCOUNTA(CN202:CN215,1,CN294:CN297)-DCOUNTA(CN202:CN209,1,CN294:CN297)-COUNT(CN211:CN212)</f>
        <v>2</v>
      </c>
      <c r="CO288" s="351"/>
      <c r="CP288" s="666">
        <f>DCOUNTA(CP202:CP215,1,CP294:CP297)-DCOUNTA(CP202:CP209,1,CP294:CP297)-COUNT(CP211:CP212)</f>
        <v>1</v>
      </c>
      <c r="CQ288" s="351"/>
      <c r="CR288" s="666">
        <f>DCOUNTA(CR202:CR215,1,CR294:CR297)-DCOUNTA(CR202:CR209,1,CR294:CR297)-COUNT(CR211:CR212)</f>
        <v>2</v>
      </c>
      <c r="CS288" s="351"/>
      <c r="CT288" s="666">
        <f>DCOUNTA(CT202:CT215,1,CT294:CT297)-DCOUNTA(CT202:CT209,1,CT294:CT297)-COUNT(CT211:CT212)</f>
        <v>3</v>
      </c>
      <c r="CU288" s="351"/>
      <c r="CV288" s="666">
        <f>DCOUNTA(CV202:CV215,1,CV294:CV297)-DCOUNTA(CV202:CV209,1,CV294:CV297)-COUNT(CV211:CV212)</f>
        <v>3</v>
      </c>
      <c r="CW288" s="660"/>
      <c r="CX288" s="666">
        <f>DCOUNTA(CX202:CX215,1,CX294:CX297)-DCOUNTA(CX202:CX209,1,CX294:CX297)-COUNT(CX211:CX212)</f>
        <v>3</v>
      </c>
      <c r="CY288" s="660"/>
      <c r="CZ288" s="666">
        <f>DCOUNTA(CZ202:CZ215,1,CZ294:CZ297)-DCOUNTA(CZ202:CZ209,1,CZ294:CZ297)-COUNT(CZ211:CZ212)</f>
        <v>4</v>
      </c>
      <c r="DA288" s="660"/>
      <c r="DB288" s="136"/>
      <c r="DC288" s="136">
        <f t="shared" si="24"/>
        <v>2</v>
      </c>
      <c r="DD288" s="136">
        <f t="shared" si="25"/>
        <v>2</v>
      </c>
      <c r="DE288" s="136" t="s">
        <v>3128</v>
      </c>
      <c r="DF288" s="136"/>
      <c r="DG288" s="136"/>
      <c r="DH288" s="136"/>
      <c r="DI288" s="136"/>
      <c r="DJ288" s="136"/>
      <c r="DK288" s="136"/>
      <c r="DL288" s="136"/>
      <c r="DM288" s="136"/>
      <c r="DN288" s="136"/>
      <c r="DO288" s="136"/>
      <c r="DP288" s="136"/>
      <c r="DQ288" s="136"/>
      <c r="DR288" s="136"/>
    </row>
    <row r="289" spans="1:122" ht="18.75" x14ac:dyDescent="0.3">
      <c r="A289" s="136"/>
      <c r="B289" s="663">
        <f>COUNT(B218,B220:B237)</f>
        <v>19</v>
      </c>
      <c r="C289" s="664" t="s">
        <v>3129</v>
      </c>
      <c r="D289" s="266">
        <f>DCOUNT(D217:D237,1,D294:D297)-COUNT(D219)</f>
        <v>1</v>
      </c>
      <c r="E289" s="266"/>
      <c r="F289" s="266">
        <f>DCOUNTA(F217:F237,1,F294:F297)-COUNT(F219)</f>
        <v>0</v>
      </c>
      <c r="G289" s="343"/>
      <c r="H289" s="266">
        <f>DCOUNTA(H217:H237,1,H294:H297)-COUNT(H219)</f>
        <v>11</v>
      </c>
      <c r="I289" s="649"/>
      <c r="J289" s="266">
        <f>DCOUNTA(J217:J237,1,J294:J297)-COUNT(J219)</f>
        <v>2</v>
      </c>
      <c r="K289" s="136"/>
      <c r="L289" s="266">
        <f>DCOUNTA(L217:L237,1,L294:L297)-COUNT(L219)</f>
        <v>3</v>
      </c>
      <c r="M289" s="653"/>
      <c r="N289" s="266">
        <f>DCOUNTA(N217:N237,1,N294:N297)-COUNT(N219)</f>
        <v>3</v>
      </c>
      <c r="O289" s="136"/>
      <c r="P289" s="266">
        <f>DCOUNTA(P217:P237,1,P294:P297)-COUNT(P219)</f>
        <v>10</v>
      </c>
      <c r="Q289" s="655"/>
      <c r="R289" s="266">
        <f>DCOUNTA(R217:R237,1,R294:R297)-COUNT(R219)</f>
        <v>19</v>
      </c>
      <c r="S289" s="351"/>
      <c r="T289" s="266">
        <f>DCOUNTA(T217:T237,1,T294:T297)-COUNT(T219)</f>
        <v>14</v>
      </c>
      <c r="U289" s="651"/>
      <c r="V289" s="266">
        <f>DCOUNTA(V217:V237,1,V294:V297)-COUNT(V219)</f>
        <v>15</v>
      </c>
      <c r="W289" s="657"/>
      <c r="X289" s="266">
        <f>DCOUNTA(X217:X237,1,X294:X297)-COUNT(X219)</f>
        <v>1</v>
      </c>
      <c r="Y289" s="351"/>
      <c r="Z289" s="266">
        <f>DCOUNTA(Z217:Z237,1,Z294:Z297)-COUNT(Z219)</f>
        <v>18</v>
      </c>
      <c r="AA289" s="351"/>
      <c r="AB289" s="266">
        <f>DCOUNTA(AB217:AB237,1,AB294:AB297)-COUNT(AB219)</f>
        <v>6</v>
      </c>
      <c r="AC289" s="351"/>
      <c r="AD289" s="266">
        <f>DCOUNTA(AD217:AD237,1,AD294:AD297)-COUNT(AD219)</f>
        <v>1</v>
      </c>
      <c r="AE289" s="343"/>
      <c r="AF289" s="266">
        <f>DCOUNTA(AF217:AF237,1,AF294:AF297)-COUNT(AF219)</f>
        <v>1</v>
      </c>
      <c r="AG289" s="343"/>
      <c r="AH289" s="266">
        <f>DCOUNTA(AH217:AH237,1,AH294:AH297)-COUNT(AH219)</f>
        <v>13</v>
      </c>
      <c r="AI289" s="351"/>
      <c r="AJ289" s="266">
        <f>DCOUNTA(AJ217:AJ237,1,AJ294:AJ297)-COUNT(AJ219)</f>
        <v>15</v>
      </c>
      <c r="AK289" s="653"/>
      <c r="AL289" s="188">
        <f>DCOUNTA(AL217:AL237,1,AL294:AL297)-COUNT(AL219)</f>
        <v>4</v>
      </c>
      <c r="AM289" s="351"/>
      <c r="AN289" s="266">
        <f>DCOUNTA(AN217:AN237,1,AN294:AN297)-COUNT(AN219)</f>
        <v>13</v>
      </c>
      <c r="AO289" s="136"/>
      <c r="AP289" s="188">
        <f>DCOUNTA(AP217:AP237,1,AP294:AP297)-COUNT(AP219)</f>
        <v>4</v>
      </c>
      <c r="AQ289" s="351"/>
      <c r="AR289" s="266">
        <f>DCOUNTA(AR217:AR237,1,AR294:AR297)-COUNT(AR219)</f>
        <v>4</v>
      </c>
      <c r="AS289" s="136"/>
      <c r="AT289" s="266">
        <f>DCOUNTA(AT217:AT237,1,AT294:AT297)-COUNT(AT219)</f>
        <v>2</v>
      </c>
      <c r="AU289" s="136"/>
      <c r="AV289" s="188">
        <f>DCOUNTA(AV217:AV237,1,AV294:AV297)-COUNT(AV219)</f>
        <v>1</v>
      </c>
      <c r="AW289" s="351"/>
      <c r="AX289" s="188">
        <f>DCOUNTA(AX217:AX237,1,AX294:AX297)-COUNT(AX219)</f>
        <v>6</v>
      </c>
      <c r="AY289" s="658"/>
      <c r="AZ289" s="188">
        <f>DCOUNTA(AZ217:AZ237,1,AZ294:AZ297)-COUNT(AZ219)</f>
        <v>13</v>
      </c>
      <c r="BA289" s="653"/>
      <c r="BB289" s="188">
        <f>DCOUNTA(BB217:BB237,1,BB294:BB297)-COUNT(BB219)</f>
        <v>0</v>
      </c>
      <c r="BC289" s="351"/>
      <c r="BD289" s="188">
        <f>DCOUNTA(BD217:BD237,1,BD294:BD297)-COUNT(BD219)</f>
        <v>0</v>
      </c>
      <c r="BE289" s="653"/>
      <c r="BF289" s="188">
        <f>DCOUNTA(BF217:BF237,1,BF294:BF297)-COUNT(BF219)</f>
        <v>12</v>
      </c>
      <c r="BG289" s="351"/>
      <c r="BH289" s="188">
        <f>DCOUNTA(BH217:BH237,1,BH294:BH297)-COUNT(BH219)</f>
        <v>2</v>
      </c>
      <c r="BI289" s="351"/>
      <c r="BJ289" s="188">
        <f>DCOUNTA(BJ217:BJ237,1,BJ294:BJ297)-COUNT(BJ219)</f>
        <v>0</v>
      </c>
      <c r="BK289" s="351"/>
      <c r="BL289" s="188">
        <f>DCOUNTA(BL217:BL237,1,BL294:BL297)-COUNT(BL219)</f>
        <v>15</v>
      </c>
      <c r="BM289" s="351"/>
      <c r="BN289" s="266">
        <f>DCOUNTA(BN217:BN237,1,BN294:BN297)-COUNT(BN219)</f>
        <v>18</v>
      </c>
      <c r="BO289" s="136"/>
      <c r="BP289" s="188">
        <f>DCOUNTA(BP217:BP237,1,BP294:BP297)-COUNT(BP219)</f>
        <v>14</v>
      </c>
      <c r="BQ289" s="659"/>
      <c r="BR289" s="188">
        <f>DCOUNTA(BR217:BR237,1,BR294:BR297)-COUNT(BR219)</f>
        <v>14</v>
      </c>
      <c r="BS289" s="351"/>
      <c r="BT289" s="188">
        <f>DCOUNTA(BT217:BT237,1,BT294:BT297)-COUNT(BT219)</f>
        <v>0</v>
      </c>
      <c r="BU289" s="351"/>
      <c r="BV289" s="188">
        <f>DCOUNTA(BV217:BV237,1,BV294:BV297)-COUNT(BV219)</f>
        <v>11</v>
      </c>
      <c r="BW289" s="174"/>
      <c r="BX289" s="266">
        <f>DCOUNTA(BX217:BX237,1,BX294:BX297)-COUNT(BX219)</f>
        <v>0</v>
      </c>
      <c r="BY289" s="136"/>
      <c r="BZ289" s="188">
        <f>DCOUNTA(BZ217:BZ237,1,BZ294:BZ297)-COUNT(BZ219)</f>
        <v>0</v>
      </c>
      <c r="CA289" s="351"/>
      <c r="CB289" s="188">
        <f>DCOUNTA(CB217:CB237,1,CB294:CB297)-COUNT(CB219)</f>
        <v>14</v>
      </c>
      <c r="CC289" s="351"/>
      <c r="CD289" s="266">
        <f>DCOUNTA(CD217:CD237,1,CD294:CD297)-COUNT(CD219)</f>
        <v>3</v>
      </c>
      <c r="CE289" s="136"/>
      <c r="CF289" s="188">
        <f>DCOUNTA(CF217:CF237,1,CF294:CF297)-COUNT(CF219)</f>
        <v>1</v>
      </c>
      <c r="CG289" s="351"/>
      <c r="CH289" s="188">
        <f>DCOUNTA(CH217:CH237,1,CH294:CH297)-COUNT(CH219)</f>
        <v>18</v>
      </c>
      <c r="CI289" s="351"/>
      <c r="CJ289" s="188">
        <f>DCOUNTA(CJ217:CJ237,1,CJ294:CJ297)-COUNT(CJ219)</f>
        <v>14</v>
      </c>
      <c r="CK289" s="351"/>
      <c r="CL289" s="188">
        <f>DCOUNTA(CL217:CL237,1,CL294:CL297)-COUNT(CL219)</f>
        <v>10</v>
      </c>
      <c r="CM289" s="351"/>
      <c r="CN289" s="188">
        <f>DCOUNTA(CN217:CN237,1,CN294:CN297)-COUNT(CN219)</f>
        <v>15</v>
      </c>
      <c r="CO289" s="351"/>
      <c r="CP289" s="188">
        <f>DCOUNTA(CP217:CP237,1,CP294:CP297)-COUNT(CP219)</f>
        <v>2</v>
      </c>
      <c r="CQ289" s="351"/>
      <c r="CR289" s="188">
        <f>DCOUNTA(CR217:CR237,1,CR294:CR297)-COUNT(CR219)</f>
        <v>4</v>
      </c>
      <c r="CS289" s="351"/>
      <c r="CT289" s="188">
        <f>DCOUNTA(CT217:CT237,1,CT294:CT297)-COUNT(CT219)</f>
        <v>16</v>
      </c>
      <c r="CU289" s="351"/>
      <c r="CV289" s="188">
        <f>DCOUNTA(CV217:CV237,1,CV294:CV297)-COUNT(CV219)</f>
        <v>13</v>
      </c>
      <c r="CW289" s="660"/>
      <c r="CX289" s="188">
        <f>DCOUNTA(CX217:CX237,1,CX294:CX297)-COUNT(CX219)</f>
        <v>13</v>
      </c>
      <c r="CY289" s="660"/>
      <c r="CZ289" s="188">
        <f>DCOUNTA(CZ217:CZ237,1,CZ294:CZ297)-COUNT(CZ219)</f>
        <v>16</v>
      </c>
      <c r="DA289" s="660"/>
      <c r="DB289" s="136"/>
      <c r="DC289" s="136">
        <f t="shared" si="24"/>
        <v>0</v>
      </c>
      <c r="DD289" s="136">
        <f t="shared" si="25"/>
        <v>8</v>
      </c>
      <c r="DE289" s="136" t="s">
        <v>3130</v>
      </c>
      <c r="DF289" s="136"/>
      <c r="DG289" s="136"/>
      <c r="DH289" s="136"/>
      <c r="DI289" s="136"/>
      <c r="DJ289" s="136"/>
      <c r="DK289" s="136"/>
      <c r="DL289" s="136"/>
      <c r="DM289" s="136"/>
      <c r="DN289" s="136"/>
      <c r="DO289" s="136"/>
      <c r="DP289" s="136"/>
      <c r="DQ289" s="136"/>
      <c r="DR289" s="136"/>
    </row>
    <row r="290" spans="1:122" ht="18.75" x14ac:dyDescent="0.3">
      <c r="A290" s="531"/>
      <c r="B290" s="661">
        <f>COUNT(B241:B242)</f>
        <v>2</v>
      </c>
      <c r="C290" s="667" t="s">
        <v>3131</v>
      </c>
      <c r="D290" s="668">
        <f>COUNTA(E241:E243)</f>
        <v>1</v>
      </c>
      <c r="E290" s="668"/>
      <c r="F290" s="668">
        <f>COUNTA(G241:G243)</f>
        <v>0</v>
      </c>
      <c r="G290" s="533"/>
      <c r="H290" s="668">
        <f>COUNTA(I241:I243)</f>
        <v>2</v>
      </c>
      <c r="I290" s="669"/>
      <c r="J290" s="668">
        <f>COUNTA(K241:K243)</f>
        <v>1</v>
      </c>
      <c r="K290" s="531"/>
      <c r="L290" s="668">
        <f>COUNTA(M241:M243)</f>
        <v>1</v>
      </c>
      <c r="M290" s="539"/>
      <c r="N290" s="668">
        <f>COUNTA(O241:O243)</f>
        <v>1</v>
      </c>
      <c r="O290" s="531"/>
      <c r="P290" s="668">
        <f>COUNTA(Q241:Q243)</f>
        <v>1</v>
      </c>
      <c r="Q290" s="555"/>
      <c r="R290" s="668">
        <f>COUNTA(S241:S243)</f>
        <v>1</v>
      </c>
      <c r="S290" s="670"/>
      <c r="T290" s="668">
        <f>COUNTA(U241:U243)</f>
        <v>3</v>
      </c>
      <c r="U290" s="671"/>
      <c r="V290" s="668">
        <f>COUNTA(W241:W243)</f>
        <v>3</v>
      </c>
      <c r="W290" s="672"/>
      <c r="X290" s="668">
        <f>COUNTA(Y241:Y243)</f>
        <v>0</v>
      </c>
      <c r="Y290" s="670"/>
      <c r="Z290" s="668">
        <f>COUNTA(AA241:AA243)</f>
        <v>1</v>
      </c>
      <c r="AA290" s="670"/>
      <c r="AB290" s="668">
        <f>COUNTA(AC241:AC243)</f>
        <v>1</v>
      </c>
      <c r="AC290" s="670"/>
      <c r="AD290" s="668">
        <f>COUNTA(AE241:AE243)</f>
        <v>0</v>
      </c>
      <c r="AE290" s="533"/>
      <c r="AF290" s="668">
        <f>COUNTA(AG241:AG243)</f>
        <v>3</v>
      </c>
      <c r="AG290" s="533"/>
      <c r="AH290" s="668">
        <f>COUNTA(AI241:AI243)</f>
        <v>1</v>
      </c>
      <c r="AI290" s="670"/>
      <c r="AJ290" s="668">
        <f>COUNTA(AK241:AK243)</f>
        <v>1</v>
      </c>
      <c r="AK290" s="539"/>
      <c r="AL290" s="668">
        <f>COUNTA(AM241:AM243)</f>
        <v>3</v>
      </c>
      <c r="AM290" s="670"/>
      <c r="AN290" s="668">
        <f>COUNTA(AO241:AO243)</f>
        <v>0</v>
      </c>
      <c r="AO290" s="531"/>
      <c r="AP290" s="668">
        <f>COUNTA(AQ241:AQ243)</f>
        <v>2</v>
      </c>
      <c r="AQ290" s="670"/>
      <c r="AR290" s="668">
        <f>COUNTA(AS241:AS243)</f>
        <v>1</v>
      </c>
      <c r="AS290" s="531"/>
      <c r="AT290" s="668">
        <f>COUNTA(AU241:AU243)</f>
        <v>0</v>
      </c>
      <c r="AU290" s="531"/>
      <c r="AV290" s="668">
        <f>COUNTA(AW241:AW243)</f>
        <v>0</v>
      </c>
      <c r="AW290" s="670"/>
      <c r="AX290" s="668">
        <f>COUNTA(AY241:AY243)</f>
        <v>0</v>
      </c>
      <c r="AY290" s="673"/>
      <c r="AZ290" s="668">
        <f>COUNTA(BA241:BA243)</f>
        <v>1</v>
      </c>
      <c r="BA290" s="539"/>
      <c r="BB290" s="668">
        <f>COUNTA(BC241:BC243)</f>
        <v>0</v>
      </c>
      <c r="BC290" s="670"/>
      <c r="BD290" s="668">
        <f>COUNTA(BE241:BE243)</f>
        <v>0</v>
      </c>
      <c r="BE290" s="539"/>
      <c r="BF290" s="668">
        <f>COUNTA(BG241:BG243)</f>
        <v>1</v>
      </c>
      <c r="BG290" s="670"/>
      <c r="BH290" s="668">
        <v>0</v>
      </c>
      <c r="BI290" s="670"/>
      <c r="BJ290" s="668">
        <f>COUNTA(BK241:BK243)</f>
        <v>1</v>
      </c>
      <c r="BK290" s="670"/>
      <c r="BL290" s="668">
        <f>COUNTA(BM241:BM243)</f>
        <v>3</v>
      </c>
      <c r="BM290" s="670"/>
      <c r="BN290" s="668">
        <f>COUNTA(BO241:BO243)</f>
        <v>1</v>
      </c>
      <c r="BO290" s="531"/>
      <c r="BP290" s="668">
        <f>COUNTA(BQ241:BQ243)</f>
        <v>0</v>
      </c>
      <c r="BQ290" s="674"/>
      <c r="BR290" s="668">
        <f>COUNTA(BS241:BS243)</f>
        <v>0</v>
      </c>
      <c r="BS290" s="670"/>
      <c r="BT290" s="668">
        <f>COUNTA(BU241:BU243)</f>
        <v>0</v>
      </c>
      <c r="BU290" s="670"/>
      <c r="BV290" s="668">
        <f>COUNTA(BW241:BW243)</f>
        <v>0</v>
      </c>
      <c r="BW290" s="670"/>
      <c r="BX290" s="668">
        <f>COUNTA(BY241:BY243)</f>
        <v>0</v>
      </c>
      <c r="BY290" s="531"/>
      <c r="BZ290" s="668">
        <f>COUNTA(CA241:CA243)</f>
        <v>0</v>
      </c>
      <c r="CA290" s="670"/>
      <c r="CB290" s="668">
        <f>COUNTA(CC241:CC243)</f>
        <v>1</v>
      </c>
      <c r="CC290" s="670"/>
      <c r="CD290" s="668">
        <f>COUNTA(CE241:CE243)</f>
        <v>3</v>
      </c>
      <c r="CE290" s="531"/>
      <c r="CF290" s="668">
        <f>COUNTA(CG241:CG243)</f>
        <v>3</v>
      </c>
      <c r="CG290" s="670"/>
      <c r="CH290" s="668">
        <f>COUNTA(CI241:CI243)</f>
        <v>1</v>
      </c>
      <c r="CI290" s="670"/>
      <c r="CJ290" s="668">
        <f>COUNTA(CK241:CK243)</f>
        <v>3</v>
      </c>
      <c r="CK290" s="670"/>
      <c r="CL290" s="668">
        <f>COUNTA(CM241:CM243)</f>
        <v>1</v>
      </c>
      <c r="CM290" s="670"/>
      <c r="CN290" s="668">
        <f>COUNTA(CO241:CO243)</f>
        <v>1</v>
      </c>
      <c r="CO290" s="670"/>
      <c r="CP290" s="668">
        <f>COUNTA(CQ241:CQ243)</f>
        <v>0</v>
      </c>
      <c r="CQ290" s="670"/>
      <c r="CR290" s="668">
        <f>COUNTA(CS241:CS243)</f>
        <v>1</v>
      </c>
      <c r="CS290" s="670"/>
      <c r="CT290" s="668">
        <f>COUNTA(CU241:CU243)</f>
        <v>2</v>
      </c>
      <c r="CU290" s="670"/>
      <c r="CV290" s="668">
        <f>COUNTA(CW241:CW243)</f>
        <v>0</v>
      </c>
      <c r="CW290" s="675"/>
      <c r="CX290" s="668">
        <f>COUNTA(CY241:CY243)</f>
        <v>1</v>
      </c>
      <c r="CY290" s="675"/>
      <c r="CZ290" s="668">
        <f>COUNTA(DA241:DA243)</f>
        <v>0</v>
      </c>
      <c r="DA290" s="675"/>
      <c r="DB290" s="531"/>
      <c r="DC290" s="136">
        <f t="shared" si="24"/>
        <v>0</v>
      </c>
      <c r="DD290" s="136">
        <f t="shared" si="25"/>
        <v>1</v>
      </c>
      <c r="DE290" s="531"/>
      <c r="DF290" s="531"/>
      <c r="DG290" s="531"/>
      <c r="DH290" s="531"/>
      <c r="DI290" s="531"/>
      <c r="DJ290" s="531"/>
      <c r="DK290" s="531"/>
      <c r="DL290" s="531"/>
      <c r="DM290" s="531"/>
      <c r="DN290" s="531"/>
      <c r="DO290" s="531"/>
      <c r="DP290" s="531"/>
      <c r="DQ290" s="531"/>
      <c r="DR290" s="531"/>
    </row>
    <row r="291" spans="1:122" ht="18.75" x14ac:dyDescent="0.3">
      <c r="A291" s="136"/>
      <c r="B291" s="663">
        <f>SUM(B274:B290)</f>
        <v>176</v>
      </c>
      <c r="C291" s="676" t="s">
        <v>3132</v>
      </c>
      <c r="D291" s="677">
        <f>SUM(D274:D290)</f>
        <v>42</v>
      </c>
      <c r="E291" s="266"/>
      <c r="F291" s="677">
        <f>SUM(F274:F290)</f>
        <v>1</v>
      </c>
      <c r="G291" s="343"/>
      <c r="H291" s="677">
        <f>SUM(H274:H290)</f>
        <v>73</v>
      </c>
      <c r="I291" s="649"/>
      <c r="J291" s="677">
        <f>SUM(J274:J290)</f>
        <v>60</v>
      </c>
      <c r="K291" s="136"/>
      <c r="L291" s="677">
        <f>SUM(L274:L290)</f>
        <v>21</v>
      </c>
      <c r="M291" s="653"/>
      <c r="N291" s="677">
        <f>SUM(N274:N290)</f>
        <v>19</v>
      </c>
      <c r="O291" s="136"/>
      <c r="P291" s="677">
        <f>SUM(P274:P290)</f>
        <v>99</v>
      </c>
      <c r="Q291" s="655"/>
      <c r="R291" s="677">
        <f>SUM(R274:R290)</f>
        <v>152</v>
      </c>
      <c r="S291" s="351"/>
      <c r="T291" s="677">
        <f>SUM(T274:T290)</f>
        <v>91</v>
      </c>
      <c r="U291" s="651"/>
      <c r="V291" s="677">
        <f>SUM(V274:V290)</f>
        <v>69</v>
      </c>
      <c r="W291" s="657"/>
      <c r="X291" s="677">
        <f>SUM(X274:X290)</f>
        <v>36</v>
      </c>
      <c r="Y291" s="351"/>
      <c r="Z291" s="677">
        <f>SUM(Z274:Z290)</f>
        <v>167</v>
      </c>
      <c r="AA291" s="351"/>
      <c r="AB291" s="677">
        <f>SUM(AB274:AB290)</f>
        <v>30</v>
      </c>
      <c r="AC291" s="351"/>
      <c r="AD291" s="677">
        <f>SUM(AD274:AD290)</f>
        <v>29</v>
      </c>
      <c r="AE291" s="343"/>
      <c r="AF291" s="677">
        <f>SUM(AF274:AF290)</f>
        <v>36</v>
      </c>
      <c r="AG291" s="343"/>
      <c r="AH291" s="677">
        <f>SUM(AH274:AH290)</f>
        <v>89</v>
      </c>
      <c r="AI291" s="351"/>
      <c r="AJ291" s="677">
        <f>SUM(AJ274:AJ290)</f>
        <v>74</v>
      </c>
      <c r="AK291" s="653"/>
      <c r="AL291" s="677">
        <f>SUM(AL274:AL290)</f>
        <v>40</v>
      </c>
      <c r="AM291" s="351"/>
      <c r="AN291" s="677">
        <f>SUM(AN274:AN290)</f>
        <v>60</v>
      </c>
      <c r="AO291" s="136"/>
      <c r="AP291" s="677">
        <f>SUM(AP274:AP290)</f>
        <v>33</v>
      </c>
      <c r="AQ291" s="351"/>
      <c r="AR291" s="677">
        <f>SUM(AR274:AR290)</f>
        <v>40</v>
      </c>
      <c r="AS291" s="136"/>
      <c r="AT291" s="677">
        <f>SUM(AT274:AT290)</f>
        <v>19</v>
      </c>
      <c r="AU291" s="136"/>
      <c r="AV291" s="677">
        <f>SUM(AV274:AV290)</f>
        <v>27</v>
      </c>
      <c r="AW291" s="351"/>
      <c r="AX291" s="677">
        <f>SUM(AX274:AX290)</f>
        <v>67</v>
      </c>
      <c r="AY291" s="658"/>
      <c r="AZ291" s="677">
        <f>SUM(AZ274:AZ290)</f>
        <v>79</v>
      </c>
      <c r="BA291" s="653"/>
      <c r="BB291" s="677">
        <f>SUM(BB274:BB290)</f>
        <v>24</v>
      </c>
      <c r="BC291" s="351"/>
      <c r="BD291" s="677">
        <f>SUM(BD274:BD290)</f>
        <v>17</v>
      </c>
      <c r="BE291" s="653"/>
      <c r="BF291" s="677">
        <f>SUM(BF274:BF290)</f>
        <v>81</v>
      </c>
      <c r="BG291" s="351"/>
      <c r="BH291" s="677">
        <f>SUM(BH274:BH290)</f>
        <v>21</v>
      </c>
      <c r="BI291" s="351"/>
      <c r="BJ291" s="677">
        <f>SUM(BJ274:BJ290)</f>
        <v>9</v>
      </c>
      <c r="BK291" s="351"/>
      <c r="BL291" s="677">
        <f>SUM(BL274:BL290)</f>
        <v>84</v>
      </c>
      <c r="BM291" s="351"/>
      <c r="BN291" s="677">
        <f>SUM(BN274:BN290)</f>
        <v>164</v>
      </c>
      <c r="BO291" s="136"/>
      <c r="BP291" s="677">
        <f>SUM(BP274:BP290)</f>
        <v>64</v>
      </c>
      <c r="BQ291" s="659"/>
      <c r="BR291" s="677">
        <f>SUM(BR274:BR290)</f>
        <v>62</v>
      </c>
      <c r="BS291" s="351"/>
      <c r="BT291" s="677">
        <f>SUM(BT274:BT290)</f>
        <v>22</v>
      </c>
      <c r="BU291" s="351"/>
      <c r="BV291" s="677">
        <f>SUM(BV274:BV290)</f>
        <v>86</v>
      </c>
      <c r="BW291" s="174"/>
      <c r="BX291" s="677">
        <f>SUM(BX274:BX290)</f>
        <v>33</v>
      </c>
      <c r="BY291" s="136"/>
      <c r="BZ291" s="677">
        <f>SUM(BZ274:BZ290)</f>
        <v>1</v>
      </c>
      <c r="CA291" s="351"/>
      <c r="CB291" s="677">
        <f>SUM(CB274:CB290)</f>
        <v>67</v>
      </c>
      <c r="CC291" s="351"/>
      <c r="CD291" s="677">
        <f>SUM(CD274:CD290)</f>
        <v>37</v>
      </c>
      <c r="CE291" s="136"/>
      <c r="CF291" s="677">
        <f>SUM(CF274:CF290)</f>
        <v>39</v>
      </c>
      <c r="CG291" s="351"/>
      <c r="CH291" s="677">
        <f>SUM(CH274:CH290)</f>
        <v>152</v>
      </c>
      <c r="CI291" s="351"/>
      <c r="CJ291" s="677">
        <f>SUM(CJ274:CJ290)</f>
        <v>76</v>
      </c>
      <c r="CK291" s="351"/>
      <c r="CL291" s="677">
        <f>SUM(CL274:CL290)</f>
        <v>90</v>
      </c>
      <c r="CM291" s="351"/>
      <c r="CN291" s="677">
        <f>SUM(CN274:CN290)</f>
        <v>64</v>
      </c>
      <c r="CO291" s="351"/>
      <c r="CP291" s="677">
        <f>SUM(CP274:CP290)</f>
        <v>37</v>
      </c>
      <c r="CQ291" s="351"/>
      <c r="CR291" s="677">
        <f>SUM(CR274:CR290)</f>
        <v>17</v>
      </c>
      <c r="CS291" s="351"/>
      <c r="CT291" s="677">
        <f>SUM(CT274:CT290)</f>
        <v>167</v>
      </c>
      <c r="CU291" s="351"/>
      <c r="CV291" s="677">
        <f>SUM(CV274:CV290)</f>
        <v>115</v>
      </c>
      <c r="CW291" s="660"/>
      <c r="CX291" s="677">
        <f>SUM(CX274:CX290)</f>
        <v>82</v>
      </c>
      <c r="CY291" s="660"/>
      <c r="CZ291" s="677">
        <f>SUM(CZ274:CZ290)</f>
        <v>66</v>
      </c>
      <c r="DA291" s="660"/>
      <c r="DB291" s="136"/>
      <c r="DC291" s="136">
        <f t="shared" si="24"/>
        <v>33</v>
      </c>
      <c r="DD291" s="136">
        <f t="shared" si="25"/>
        <v>61</v>
      </c>
      <c r="DE291" s="136"/>
      <c r="DF291" s="136"/>
      <c r="DG291" s="136"/>
      <c r="DH291" s="136"/>
      <c r="DI291" s="136"/>
      <c r="DJ291" s="136"/>
      <c r="DK291" s="136"/>
      <c r="DL291" s="136"/>
      <c r="DM291" s="136"/>
      <c r="DN291" s="136"/>
      <c r="DO291" s="136"/>
      <c r="DP291" s="136"/>
      <c r="DQ291" s="136"/>
      <c r="DR291" s="136"/>
    </row>
    <row r="292" spans="1:122" ht="18.75" x14ac:dyDescent="0.3">
      <c r="A292" s="136"/>
      <c r="B292" s="663"/>
      <c r="C292" s="663"/>
      <c r="D292" s="343"/>
      <c r="E292" s="266"/>
      <c r="F292" s="343"/>
      <c r="G292" s="343"/>
      <c r="H292" s="343"/>
      <c r="I292" s="649"/>
      <c r="J292" s="343"/>
      <c r="K292" s="136"/>
      <c r="L292" s="678"/>
      <c r="M292" s="653"/>
      <c r="N292" s="343"/>
      <c r="O292" s="136"/>
      <c r="P292" s="654"/>
      <c r="Q292" s="655"/>
      <c r="R292" s="654"/>
      <c r="S292" s="351"/>
      <c r="T292" s="654"/>
      <c r="U292" s="651"/>
      <c r="V292" s="654"/>
      <c r="W292" s="657"/>
      <c r="X292" s="654"/>
      <c r="Y292" s="351"/>
      <c r="Z292" s="654"/>
      <c r="AA292" s="351"/>
      <c r="AB292" s="654"/>
      <c r="AC292" s="351"/>
      <c r="AD292" s="654"/>
      <c r="AE292" s="343"/>
      <c r="AF292" s="654"/>
      <c r="AG292" s="343"/>
      <c r="AH292" s="654"/>
      <c r="AI292" s="351"/>
      <c r="AJ292" s="654"/>
      <c r="AK292" s="653"/>
      <c r="AL292" s="649"/>
      <c r="AM292" s="351"/>
      <c r="AN292" s="343"/>
      <c r="AO292" s="136"/>
      <c r="AP292" s="343"/>
      <c r="AQ292" s="351"/>
      <c r="AR292" s="343"/>
      <c r="AS292" s="136"/>
      <c r="AT292" s="343"/>
      <c r="AU292" s="136"/>
      <c r="AV292" s="343"/>
      <c r="AW292" s="351"/>
      <c r="AX292" s="343"/>
      <c r="AY292" s="658"/>
      <c r="AZ292" s="343"/>
      <c r="BA292" s="653"/>
      <c r="BB292" s="343"/>
      <c r="BC292" s="351"/>
      <c r="BD292" s="343"/>
      <c r="BE292" s="653"/>
      <c r="BF292" s="652"/>
      <c r="BG292" s="351"/>
      <c r="BH292" s="652"/>
      <c r="BI292" s="351"/>
      <c r="BJ292" s="652"/>
      <c r="BK292" s="351"/>
      <c r="BL292" s="652"/>
      <c r="BM292" s="351"/>
      <c r="BN292" s="343"/>
      <c r="BO292" s="136"/>
      <c r="BP292" s="652"/>
      <c r="BQ292" s="659"/>
      <c r="BR292" s="652"/>
      <c r="BS292" s="351"/>
      <c r="BT292" s="652"/>
      <c r="BU292" s="351"/>
      <c r="BV292" s="652"/>
      <c r="BW292" s="174"/>
      <c r="BX292" s="343"/>
      <c r="BY292" s="136"/>
      <c r="BZ292" s="652"/>
      <c r="CA292" s="351"/>
      <c r="CB292" s="652"/>
      <c r="CC292" s="351"/>
      <c r="CD292" s="343"/>
      <c r="CE292" s="136"/>
      <c r="CF292" s="652"/>
      <c r="CG292" s="351"/>
      <c r="CH292" s="652"/>
      <c r="CI292" s="351"/>
      <c r="CJ292" s="652"/>
      <c r="CK292" s="351"/>
      <c r="CL292" s="652"/>
      <c r="CM292" s="351"/>
      <c r="CN292" s="652"/>
      <c r="CO292" s="351"/>
      <c r="CP292" s="652"/>
      <c r="CQ292" s="351"/>
      <c r="CR292" s="652"/>
      <c r="CS292" s="351"/>
      <c r="CT292" s="652"/>
      <c r="CU292" s="351"/>
      <c r="CV292" s="652"/>
      <c r="CW292" s="660"/>
      <c r="CX292" s="652"/>
      <c r="CY292" s="660"/>
      <c r="CZ292" s="652"/>
      <c r="DA292" s="660"/>
      <c r="DB292" s="136"/>
      <c r="DC292" s="136"/>
      <c r="DD292" s="136"/>
      <c r="DE292" s="136"/>
      <c r="DF292" s="136"/>
      <c r="DG292" s="136"/>
      <c r="DH292" s="136"/>
      <c r="DI292" s="136"/>
      <c r="DJ292" s="136"/>
      <c r="DK292" s="136"/>
      <c r="DL292" s="136"/>
      <c r="DM292" s="136"/>
      <c r="DN292" s="136"/>
      <c r="DO292" s="136"/>
      <c r="DP292" s="136"/>
      <c r="DQ292" s="136"/>
      <c r="DR292" s="136"/>
    </row>
    <row r="293" spans="1:122" ht="18.75" x14ac:dyDescent="0.3">
      <c r="A293" s="136"/>
      <c r="B293" s="663"/>
      <c r="C293" s="663"/>
      <c r="D293" s="343"/>
      <c r="E293" s="266"/>
      <c r="F293" s="343"/>
      <c r="G293" s="343"/>
      <c r="H293" s="343"/>
      <c r="I293" s="649"/>
      <c r="J293" s="343"/>
      <c r="K293" s="136"/>
      <c r="L293" s="678"/>
      <c r="M293" s="653"/>
      <c r="N293" s="343"/>
      <c r="O293" s="136"/>
      <c r="P293" s="654"/>
      <c r="Q293" s="655"/>
      <c r="R293" s="654"/>
      <c r="S293" s="351"/>
      <c r="T293" s="654"/>
      <c r="U293" s="651"/>
      <c r="V293" s="654"/>
      <c r="W293" s="657"/>
      <c r="X293" s="654"/>
      <c r="Y293" s="351"/>
      <c r="Z293" s="654"/>
      <c r="AA293" s="351"/>
      <c r="AB293" s="654"/>
      <c r="AC293" s="351"/>
      <c r="AD293" s="654"/>
      <c r="AE293" s="343"/>
      <c r="AF293" s="654"/>
      <c r="AG293" s="343"/>
      <c r="AH293" s="654"/>
      <c r="AI293" s="351"/>
      <c r="AJ293" s="654"/>
      <c r="AK293" s="653"/>
      <c r="AL293" s="649"/>
      <c r="AM293" s="351"/>
      <c r="AN293" s="343"/>
      <c r="AO293" s="136"/>
      <c r="AP293" s="343"/>
      <c r="AQ293" s="351"/>
      <c r="AR293" s="343"/>
      <c r="AS293" s="136"/>
      <c r="AT293" s="343"/>
      <c r="AU293" s="136"/>
      <c r="AV293" s="343"/>
      <c r="AW293" s="351"/>
      <c r="AX293" s="343"/>
      <c r="AY293" s="658"/>
      <c r="AZ293" s="343"/>
      <c r="BA293" s="653"/>
      <c r="BB293" s="343"/>
      <c r="BC293" s="351"/>
      <c r="BD293" s="343"/>
      <c r="BE293" s="653"/>
      <c r="BF293" s="652"/>
      <c r="BG293" s="351"/>
      <c r="BH293" s="652"/>
      <c r="BI293" s="351"/>
      <c r="BJ293" s="652"/>
      <c r="BK293" s="351"/>
      <c r="BL293" s="652"/>
      <c r="BM293" s="351"/>
      <c r="BN293" s="343"/>
      <c r="BO293" s="136"/>
      <c r="BP293" s="652"/>
      <c r="BQ293" s="659"/>
      <c r="BR293" s="652"/>
      <c r="BS293" s="351"/>
      <c r="BT293" s="652"/>
      <c r="BU293" s="351"/>
      <c r="BV293" s="652"/>
      <c r="BW293" s="174"/>
      <c r="BX293" s="343"/>
      <c r="BY293" s="136"/>
      <c r="BZ293" s="652"/>
      <c r="CA293" s="351"/>
      <c r="CB293" s="652"/>
      <c r="CC293" s="351"/>
      <c r="CD293" s="343"/>
      <c r="CE293" s="136"/>
      <c r="CF293" s="652"/>
      <c r="CG293" s="351"/>
      <c r="CH293" s="652"/>
      <c r="CI293" s="351"/>
      <c r="CJ293" s="652"/>
      <c r="CK293" s="351"/>
      <c r="CL293" s="652"/>
      <c r="CM293" s="351"/>
      <c r="CN293" s="652"/>
      <c r="CO293" s="351"/>
      <c r="CP293" s="652"/>
      <c r="CQ293" s="351"/>
      <c r="CR293" s="652"/>
      <c r="CS293" s="351"/>
      <c r="CT293" s="652">
        <f>DCOUNTA(CT12:CT257,1,CT300:CU301)</f>
        <v>212</v>
      </c>
      <c r="CU293" s="351"/>
      <c r="CV293" s="652"/>
      <c r="CW293" s="660"/>
      <c r="CX293" s="652"/>
      <c r="CY293" s="660"/>
      <c r="CZ293" s="652"/>
      <c r="DA293" s="660"/>
      <c r="DB293" s="136"/>
      <c r="DC293" s="136"/>
      <c r="DD293" s="136"/>
      <c r="DE293" s="136"/>
      <c r="DF293" s="136"/>
      <c r="DG293" s="136"/>
      <c r="DH293" s="136"/>
      <c r="DI293" s="136"/>
      <c r="DJ293" s="136"/>
      <c r="DK293" s="136"/>
      <c r="DL293" s="136"/>
      <c r="DM293" s="136"/>
      <c r="DN293" s="136"/>
      <c r="DO293" s="136"/>
      <c r="DP293" s="136"/>
      <c r="DQ293" s="136"/>
      <c r="DR293" s="136"/>
    </row>
    <row r="294" spans="1:122" ht="18.75" x14ac:dyDescent="0.3">
      <c r="A294" s="136"/>
      <c r="B294" s="663"/>
      <c r="C294" s="663"/>
      <c r="D294" s="424" t="s">
        <v>832</v>
      </c>
      <c r="E294" s="266"/>
      <c r="F294" s="424" t="s">
        <v>832</v>
      </c>
      <c r="G294" s="343"/>
      <c r="H294" s="424" t="s">
        <v>832</v>
      </c>
      <c r="I294" s="649"/>
      <c r="J294" s="424" t="s">
        <v>832</v>
      </c>
      <c r="K294" s="136"/>
      <c r="L294" s="424" t="s">
        <v>832</v>
      </c>
      <c r="M294" s="653"/>
      <c r="N294" s="424" t="s">
        <v>832</v>
      </c>
      <c r="O294" s="136"/>
      <c r="P294" s="424" t="s">
        <v>832</v>
      </c>
      <c r="Q294" s="655"/>
      <c r="R294" s="424" t="s">
        <v>832</v>
      </c>
      <c r="S294" s="351"/>
      <c r="T294" s="424" t="s">
        <v>832</v>
      </c>
      <c r="U294" s="651"/>
      <c r="V294" s="424" t="s">
        <v>832</v>
      </c>
      <c r="W294" s="657"/>
      <c r="X294" s="424" t="s">
        <v>832</v>
      </c>
      <c r="Y294" s="351"/>
      <c r="Z294" s="424" t="s">
        <v>832</v>
      </c>
      <c r="AA294" s="351"/>
      <c r="AB294" s="424" t="s">
        <v>832</v>
      </c>
      <c r="AC294" s="351"/>
      <c r="AD294" s="424" t="s">
        <v>832</v>
      </c>
      <c r="AE294" s="343"/>
      <c r="AF294" s="424" t="s">
        <v>832</v>
      </c>
      <c r="AG294" s="343"/>
      <c r="AH294" s="424" t="s">
        <v>832</v>
      </c>
      <c r="AI294" s="351"/>
      <c r="AJ294" s="424" t="s">
        <v>832</v>
      </c>
      <c r="AK294" s="653"/>
      <c r="AL294" s="424" t="s">
        <v>832</v>
      </c>
      <c r="AM294" s="351"/>
      <c r="AN294" s="424" t="s">
        <v>832</v>
      </c>
      <c r="AO294" s="136"/>
      <c r="AP294" s="424" t="s">
        <v>832</v>
      </c>
      <c r="AQ294" s="351"/>
      <c r="AR294" s="424" t="s">
        <v>832</v>
      </c>
      <c r="AS294" s="136"/>
      <c r="AT294" s="424" t="s">
        <v>832</v>
      </c>
      <c r="AU294" s="136"/>
      <c r="AV294" s="424" t="s">
        <v>832</v>
      </c>
      <c r="AW294" s="351"/>
      <c r="AX294" s="424" t="s">
        <v>832</v>
      </c>
      <c r="AY294" s="658"/>
      <c r="AZ294" s="424" t="s">
        <v>832</v>
      </c>
      <c r="BA294" s="653"/>
      <c r="BB294" s="424" t="s">
        <v>832</v>
      </c>
      <c r="BC294" s="351"/>
      <c r="BD294" s="424" t="s">
        <v>832</v>
      </c>
      <c r="BE294" s="653"/>
      <c r="BF294" s="424" t="s">
        <v>832</v>
      </c>
      <c r="BG294" s="351"/>
      <c r="BH294" s="424" t="s">
        <v>832</v>
      </c>
      <c r="BI294" s="351"/>
      <c r="BJ294" s="424" t="s">
        <v>832</v>
      </c>
      <c r="BK294" s="351"/>
      <c r="BL294" s="424" t="s">
        <v>832</v>
      </c>
      <c r="BM294" s="351"/>
      <c r="BN294" s="424" t="s">
        <v>832</v>
      </c>
      <c r="BO294" s="136"/>
      <c r="BP294" s="424" t="s">
        <v>832</v>
      </c>
      <c r="BQ294" s="659"/>
      <c r="BR294" s="424" t="s">
        <v>832</v>
      </c>
      <c r="BS294" s="351"/>
      <c r="BT294" s="424" t="s">
        <v>832</v>
      </c>
      <c r="BU294" s="351"/>
      <c r="BV294" s="424" t="s">
        <v>832</v>
      </c>
      <c r="BW294" s="174"/>
      <c r="BX294" s="424" t="s">
        <v>832</v>
      </c>
      <c r="BY294" s="136"/>
      <c r="BZ294" s="424" t="s">
        <v>832</v>
      </c>
      <c r="CA294" s="351"/>
      <c r="CB294" s="424" t="s">
        <v>832</v>
      </c>
      <c r="CC294" s="351"/>
      <c r="CD294" s="424" t="s">
        <v>832</v>
      </c>
      <c r="CE294" s="136"/>
      <c r="CF294" s="424" t="s">
        <v>832</v>
      </c>
      <c r="CG294" s="351"/>
      <c r="CH294" s="424" t="s">
        <v>832</v>
      </c>
      <c r="CI294" s="351"/>
      <c r="CJ294" s="424" t="s">
        <v>832</v>
      </c>
      <c r="CK294" s="351"/>
      <c r="CL294" s="424" t="s">
        <v>832</v>
      </c>
      <c r="CM294" s="351"/>
      <c r="CN294" s="424" t="s">
        <v>832</v>
      </c>
      <c r="CO294" s="351"/>
      <c r="CP294" s="424" t="s">
        <v>832</v>
      </c>
      <c r="CQ294" s="351"/>
      <c r="CR294" s="424" t="s">
        <v>832</v>
      </c>
      <c r="CS294" s="351"/>
      <c r="CT294" s="424" t="s">
        <v>832</v>
      </c>
      <c r="CU294" s="351"/>
      <c r="CV294" s="424" t="s">
        <v>832</v>
      </c>
      <c r="CW294" s="660"/>
      <c r="CX294" s="424" t="s">
        <v>832</v>
      </c>
      <c r="CY294" s="660"/>
      <c r="CZ294" s="424" t="s">
        <v>832</v>
      </c>
      <c r="DA294" s="660"/>
      <c r="DB294" s="136"/>
      <c r="DC294" s="136"/>
      <c r="DD294" s="136"/>
      <c r="DE294" s="136"/>
      <c r="DF294" s="136"/>
      <c r="DG294" s="136"/>
      <c r="DH294" s="136"/>
      <c r="DI294" s="136"/>
      <c r="DJ294" s="136"/>
      <c r="DK294" s="136"/>
      <c r="DL294" s="136"/>
      <c r="DM294" s="136"/>
      <c r="DN294" s="136"/>
      <c r="DO294" s="136"/>
      <c r="DP294" s="136"/>
      <c r="DQ294" s="136"/>
      <c r="DR294" s="136"/>
    </row>
    <row r="295" spans="1:122" ht="18.75" x14ac:dyDescent="0.3">
      <c r="A295" s="136"/>
      <c r="B295" s="663"/>
      <c r="C295" s="663"/>
      <c r="D295" s="343" t="s">
        <v>3133</v>
      </c>
      <c r="E295" s="266"/>
      <c r="F295" s="343" t="s">
        <v>3133</v>
      </c>
      <c r="G295" s="343"/>
      <c r="H295" s="343" t="s">
        <v>3133</v>
      </c>
      <c r="I295" s="649"/>
      <c r="J295" s="343" t="s">
        <v>3133</v>
      </c>
      <c r="K295" s="136"/>
      <c r="L295" s="343" t="s">
        <v>3133</v>
      </c>
      <c r="M295" s="653"/>
      <c r="N295" s="343" t="s">
        <v>3133</v>
      </c>
      <c r="O295" s="136"/>
      <c r="P295" s="343" t="s">
        <v>3133</v>
      </c>
      <c r="Q295" s="655"/>
      <c r="R295" s="343" t="s">
        <v>3133</v>
      </c>
      <c r="S295" s="351"/>
      <c r="T295" s="343" t="s">
        <v>3133</v>
      </c>
      <c r="U295" s="651"/>
      <c r="V295" s="343" t="s">
        <v>3133</v>
      </c>
      <c r="W295" s="657"/>
      <c r="X295" s="343" t="s">
        <v>3133</v>
      </c>
      <c r="Y295" s="351"/>
      <c r="Z295" s="343" t="s">
        <v>3133</v>
      </c>
      <c r="AA295" s="351"/>
      <c r="AB295" s="343" t="s">
        <v>3133</v>
      </c>
      <c r="AC295" s="351"/>
      <c r="AD295" s="343" t="s">
        <v>3133</v>
      </c>
      <c r="AE295" s="343"/>
      <c r="AF295" s="343" t="s">
        <v>3133</v>
      </c>
      <c r="AG295" s="343"/>
      <c r="AH295" s="343" t="s">
        <v>3133</v>
      </c>
      <c r="AI295" s="351"/>
      <c r="AJ295" s="343" t="s">
        <v>3133</v>
      </c>
      <c r="AK295" s="653"/>
      <c r="AL295" s="351" t="s">
        <v>3133</v>
      </c>
      <c r="AM295" s="351"/>
      <c r="AN295" s="343" t="s">
        <v>3133</v>
      </c>
      <c r="AO295" s="136"/>
      <c r="AP295" s="351" t="s">
        <v>3133</v>
      </c>
      <c r="AQ295" s="351"/>
      <c r="AR295" s="343" t="s">
        <v>3133</v>
      </c>
      <c r="AS295" s="136"/>
      <c r="AT295" s="343" t="s">
        <v>3133</v>
      </c>
      <c r="AU295" s="136"/>
      <c r="AV295" s="351" t="s">
        <v>3133</v>
      </c>
      <c r="AW295" s="351"/>
      <c r="AX295" s="351" t="s">
        <v>3133</v>
      </c>
      <c r="AY295" s="658"/>
      <c r="AZ295" s="351" t="s">
        <v>3133</v>
      </c>
      <c r="BA295" s="653"/>
      <c r="BB295" s="351" t="s">
        <v>3133</v>
      </c>
      <c r="BC295" s="351"/>
      <c r="BD295" s="351" t="s">
        <v>3133</v>
      </c>
      <c r="BE295" s="653"/>
      <c r="BF295" s="351" t="s">
        <v>3133</v>
      </c>
      <c r="BG295" s="351"/>
      <c r="BH295" s="351" t="s">
        <v>3133</v>
      </c>
      <c r="BI295" s="351"/>
      <c r="BJ295" s="351" t="s">
        <v>3133</v>
      </c>
      <c r="BK295" s="351"/>
      <c r="BL295" s="351" t="s">
        <v>3133</v>
      </c>
      <c r="BM295" s="351"/>
      <c r="BN295" s="343" t="s">
        <v>3133</v>
      </c>
      <c r="BO295" s="136"/>
      <c r="BP295" s="351" t="s">
        <v>3133</v>
      </c>
      <c r="BQ295" s="659"/>
      <c r="BR295" s="351" t="s">
        <v>3133</v>
      </c>
      <c r="BS295" s="351"/>
      <c r="BT295" s="351" t="s">
        <v>3133</v>
      </c>
      <c r="BU295" s="351"/>
      <c r="BV295" s="351" t="s">
        <v>3133</v>
      </c>
      <c r="BW295" s="174"/>
      <c r="BX295" s="343" t="s">
        <v>3133</v>
      </c>
      <c r="BY295" s="136"/>
      <c r="BZ295" s="351" t="s">
        <v>3133</v>
      </c>
      <c r="CA295" s="351"/>
      <c r="CB295" s="351" t="s">
        <v>3133</v>
      </c>
      <c r="CC295" s="351"/>
      <c r="CD295" s="343" t="s">
        <v>3133</v>
      </c>
      <c r="CE295" s="136"/>
      <c r="CF295" s="351" t="s">
        <v>3133</v>
      </c>
      <c r="CG295" s="351"/>
      <c r="CH295" s="351" t="s">
        <v>3133</v>
      </c>
      <c r="CI295" s="351"/>
      <c r="CJ295" s="351" t="s">
        <v>3133</v>
      </c>
      <c r="CK295" s="351"/>
      <c r="CL295" s="351" t="s">
        <v>3133</v>
      </c>
      <c r="CM295" s="351"/>
      <c r="CN295" s="351" t="s">
        <v>3133</v>
      </c>
      <c r="CO295" s="351"/>
      <c r="CP295" s="351" t="s">
        <v>3133</v>
      </c>
      <c r="CQ295" s="351"/>
      <c r="CR295" s="351" t="s">
        <v>3133</v>
      </c>
      <c r="CS295" s="351"/>
      <c r="CT295" s="351" t="s">
        <v>3133</v>
      </c>
      <c r="CU295" s="351"/>
      <c r="CV295" s="351" t="s">
        <v>3133</v>
      </c>
      <c r="CW295" s="660"/>
      <c r="CX295" s="351" t="s">
        <v>3133</v>
      </c>
      <c r="CY295" s="660"/>
      <c r="CZ295" s="351" t="s">
        <v>3133</v>
      </c>
      <c r="DA295" s="660"/>
      <c r="DB295" s="136"/>
      <c r="DC295" s="136"/>
      <c r="DD295" s="136"/>
      <c r="DE295" s="136"/>
      <c r="DF295" s="136"/>
      <c r="DG295" s="136"/>
      <c r="DH295" s="136"/>
      <c r="DI295" s="136"/>
      <c r="DJ295" s="136"/>
      <c r="DK295" s="136"/>
      <c r="DL295" s="136"/>
      <c r="DM295" s="136"/>
      <c r="DN295" s="136"/>
      <c r="DO295" s="136"/>
      <c r="DP295" s="136"/>
      <c r="DQ295" s="136"/>
      <c r="DR295" s="136"/>
    </row>
    <row r="296" spans="1:122" ht="18.75" x14ac:dyDescent="0.3">
      <c r="A296" s="136"/>
      <c r="B296" s="663"/>
      <c r="C296" s="663"/>
      <c r="D296" s="424" t="s">
        <v>832</v>
      </c>
      <c r="E296" s="266"/>
      <c r="F296" s="424" t="s">
        <v>832</v>
      </c>
      <c r="G296" s="343"/>
      <c r="H296" s="424" t="s">
        <v>832</v>
      </c>
      <c r="I296" s="649"/>
      <c r="J296" s="424" t="s">
        <v>832</v>
      </c>
      <c r="K296" s="136"/>
      <c r="L296" s="424" t="s">
        <v>832</v>
      </c>
      <c r="M296" s="653"/>
      <c r="N296" s="424" t="s">
        <v>832</v>
      </c>
      <c r="O296" s="136"/>
      <c r="P296" s="424" t="s">
        <v>832</v>
      </c>
      <c r="Q296" s="655"/>
      <c r="R296" s="424" t="s">
        <v>832</v>
      </c>
      <c r="S296" s="351"/>
      <c r="T296" s="424" t="s">
        <v>832</v>
      </c>
      <c r="U296" s="651"/>
      <c r="V296" s="424" t="s">
        <v>832</v>
      </c>
      <c r="W296" s="657"/>
      <c r="X296" s="424" t="s">
        <v>832</v>
      </c>
      <c r="Y296" s="351"/>
      <c r="Z296" s="424" t="s">
        <v>832</v>
      </c>
      <c r="AA296" s="351"/>
      <c r="AB296" s="424" t="s">
        <v>832</v>
      </c>
      <c r="AC296" s="351"/>
      <c r="AD296" s="424" t="s">
        <v>832</v>
      </c>
      <c r="AE296" s="343"/>
      <c r="AF296" s="424" t="s">
        <v>832</v>
      </c>
      <c r="AG296" s="343"/>
      <c r="AH296" s="424" t="s">
        <v>832</v>
      </c>
      <c r="AI296" s="351"/>
      <c r="AJ296" s="424" t="s">
        <v>832</v>
      </c>
      <c r="AK296" s="653"/>
      <c r="AL296" s="424" t="s">
        <v>832</v>
      </c>
      <c r="AM296" s="351"/>
      <c r="AN296" s="424" t="s">
        <v>832</v>
      </c>
      <c r="AO296" s="136"/>
      <c r="AP296" s="424" t="s">
        <v>832</v>
      </c>
      <c r="AQ296" s="351"/>
      <c r="AR296" s="424" t="s">
        <v>832</v>
      </c>
      <c r="AS296" s="136"/>
      <c r="AT296" s="424" t="s">
        <v>832</v>
      </c>
      <c r="AU296" s="136"/>
      <c r="AV296" s="424" t="s">
        <v>832</v>
      </c>
      <c r="AW296" s="351"/>
      <c r="AX296" s="424" t="s">
        <v>832</v>
      </c>
      <c r="AY296" s="658"/>
      <c r="AZ296" s="424" t="s">
        <v>832</v>
      </c>
      <c r="BA296" s="653"/>
      <c r="BB296" s="424" t="s">
        <v>832</v>
      </c>
      <c r="BC296" s="351"/>
      <c r="BD296" s="424" t="s">
        <v>832</v>
      </c>
      <c r="BE296" s="653"/>
      <c r="BF296" s="424" t="s">
        <v>832</v>
      </c>
      <c r="BG296" s="351"/>
      <c r="BH296" s="424" t="s">
        <v>832</v>
      </c>
      <c r="BI296" s="351"/>
      <c r="BJ296" s="424" t="s">
        <v>832</v>
      </c>
      <c r="BK296" s="351"/>
      <c r="BL296" s="424" t="s">
        <v>832</v>
      </c>
      <c r="BM296" s="351"/>
      <c r="BN296" s="424" t="s">
        <v>832</v>
      </c>
      <c r="BO296" s="136"/>
      <c r="BP296" s="424" t="s">
        <v>832</v>
      </c>
      <c r="BQ296" s="659"/>
      <c r="BR296" s="424" t="s">
        <v>832</v>
      </c>
      <c r="BS296" s="351"/>
      <c r="BT296" s="424" t="s">
        <v>832</v>
      </c>
      <c r="BU296" s="351"/>
      <c r="BV296" s="424" t="s">
        <v>832</v>
      </c>
      <c r="BW296" s="174"/>
      <c r="BX296" s="424" t="s">
        <v>832</v>
      </c>
      <c r="BY296" s="136"/>
      <c r="BZ296" s="424" t="s">
        <v>832</v>
      </c>
      <c r="CA296" s="351"/>
      <c r="CB296" s="424" t="s">
        <v>832</v>
      </c>
      <c r="CC296" s="351"/>
      <c r="CD296" s="424" t="s">
        <v>832</v>
      </c>
      <c r="CE296" s="136"/>
      <c r="CF296" s="424" t="s">
        <v>832</v>
      </c>
      <c r="CG296" s="351"/>
      <c r="CH296" s="424" t="s">
        <v>832</v>
      </c>
      <c r="CI296" s="351"/>
      <c r="CJ296" s="424" t="s">
        <v>832</v>
      </c>
      <c r="CK296" s="351"/>
      <c r="CL296" s="424" t="s">
        <v>832</v>
      </c>
      <c r="CM296" s="351"/>
      <c r="CN296" s="424" t="s">
        <v>832</v>
      </c>
      <c r="CO296" s="351"/>
      <c r="CP296" s="424" t="s">
        <v>832</v>
      </c>
      <c r="CQ296" s="351"/>
      <c r="CR296" s="424" t="s">
        <v>832</v>
      </c>
      <c r="CS296" s="351"/>
      <c r="CT296" s="424" t="s">
        <v>832</v>
      </c>
      <c r="CU296" s="351"/>
      <c r="CV296" s="424" t="s">
        <v>832</v>
      </c>
      <c r="CW296" s="660"/>
      <c r="CX296" s="424" t="s">
        <v>832</v>
      </c>
      <c r="CY296" s="660"/>
      <c r="CZ296" s="424" t="s">
        <v>832</v>
      </c>
      <c r="DA296" s="660"/>
      <c r="DB296" s="136"/>
      <c r="DC296" s="136"/>
      <c r="DD296" s="136"/>
      <c r="DE296" s="136"/>
      <c r="DF296" s="136"/>
      <c r="DG296" s="136"/>
      <c r="DH296" s="136"/>
      <c r="DI296" s="136"/>
      <c r="DJ296" s="136"/>
      <c r="DK296" s="136"/>
      <c r="DL296" s="136"/>
      <c r="DM296" s="136"/>
      <c r="DN296" s="136"/>
      <c r="DO296" s="136"/>
      <c r="DP296" s="136"/>
      <c r="DQ296" s="136"/>
      <c r="DR296" s="136"/>
    </row>
    <row r="297" spans="1:122" ht="18.75" x14ac:dyDescent="0.3">
      <c r="A297" s="136"/>
      <c r="B297" s="663"/>
      <c r="C297" s="663"/>
      <c r="D297" s="343" t="str">
        <f>"T"</f>
        <v>T</v>
      </c>
      <c r="E297" s="266"/>
      <c r="F297" s="330" t="s">
        <v>995</v>
      </c>
      <c r="G297" s="343"/>
      <c r="H297" s="330" t="s">
        <v>995</v>
      </c>
      <c r="I297" s="649"/>
      <c r="J297" s="330" t="s">
        <v>995</v>
      </c>
      <c r="K297" s="136"/>
      <c r="L297" s="330" t="s">
        <v>995</v>
      </c>
      <c r="M297" s="653"/>
      <c r="N297" s="330" t="s">
        <v>995</v>
      </c>
      <c r="O297" s="136"/>
      <c r="P297" s="330" t="s">
        <v>995</v>
      </c>
      <c r="Q297" s="655"/>
      <c r="R297" s="330" t="s">
        <v>995</v>
      </c>
      <c r="S297" s="351"/>
      <c r="T297" s="330" t="s">
        <v>995</v>
      </c>
      <c r="U297" s="651"/>
      <c r="V297" s="330" t="s">
        <v>995</v>
      </c>
      <c r="W297" s="657"/>
      <c r="X297" s="330" t="s">
        <v>995</v>
      </c>
      <c r="Y297" s="351"/>
      <c r="Z297" s="330" t="s">
        <v>995</v>
      </c>
      <c r="AA297" s="351"/>
      <c r="AB297" s="330" t="s">
        <v>995</v>
      </c>
      <c r="AC297" s="351"/>
      <c r="AD297" s="330" t="s">
        <v>995</v>
      </c>
      <c r="AE297" s="343"/>
      <c r="AF297" s="330" t="s">
        <v>995</v>
      </c>
      <c r="AG297" s="343"/>
      <c r="AH297" s="330" t="s">
        <v>995</v>
      </c>
      <c r="AI297" s="351"/>
      <c r="AJ297" s="330" t="s">
        <v>995</v>
      </c>
      <c r="AK297" s="653"/>
      <c r="AL297" s="330" t="s">
        <v>995</v>
      </c>
      <c r="AM297" s="351"/>
      <c r="AN297" s="330" t="s">
        <v>995</v>
      </c>
      <c r="AO297" s="136"/>
      <c r="AP297" s="330" t="s">
        <v>995</v>
      </c>
      <c r="AQ297" s="351"/>
      <c r="AR297" s="330" t="s">
        <v>995</v>
      </c>
      <c r="AS297" s="136"/>
      <c r="AT297" s="330" t="s">
        <v>995</v>
      </c>
      <c r="AU297" s="136"/>
      <c r="AV297" s="330" t="s">
        <v>995</v>
      </c>
      <c r="AW297" s="351"/>
      <c r="AX297" s="330" t="s">
        <v>995</v>
      </c>
      <c r="AY297" s="658"/>
      <c r="AZ297" s="330" t="s">
        <v>995</v>
      </c>
      <c r="BA297" s="653"/>
      <c r="BB297" s="330" t="s">
        <v>995</v>
      </c>
      <c r="BC297" s="351"/>
      <c r="BD297" s="330" t="s">
        <v>995</v>
      </c>
      <c r="BE297" s="653"/>
      <c r="BF297" s="330" t="s">
        <v>995</v>
      </c>
      <c r="BG297" s="351"/>
      <c r="BH297" s="330" t="s">
        <v>995</v>
      </c>
      <c r="BI297" s="351"/>
      <c r="BJ297" s="330" t="s">
        <v>995</v>
      </c>
      <c r="BK297" s="351"/>
      <c r="BL297" s="330" t="s">
        <v>995</v>
      </c>
      <c r="BM297" s="351"/>
      <c r="BN297" s="330" t="s">
        <v>995</v>
      </c>
      <c r="BO297" s="136"/>
      <c r="BP297" s="330" t="s">
        <v>995</v>
      </c>
      <c r="BQ297" s="659"/>
      <c r="BR297" s="330" t="s">
        <v>995</v>
      </c>
      <c r="BS297" s="351"/>
      <c r="BT297" s="330" t="s">
        <v>995</v>
      </c>
      <c r="BU297" s="351"/>
      <c r="BV297" s="330" t="s">
        <v>995</v>
      </c>
      <c r="BW297" s="174"/>
      <c r="BX297" s="330" t="s">
        <v>995</v>
      </c>
      <c r="BY297" s="136"/>
      <c r="BZ297" s="330" t="s">
        <v>995</v>
      </c>
      <c r="CA297" s="351"/>
      <c r="CB297" s="330" t="s">
        <v>995</v>
      </c>
      <c r="CC297" s="351"/>
      <c r="CD297" s="330" t="s">
        <v>995</v>
      </c>
      <c r="CE297" s="136"/>
      <c r="CF297" s="330" t="s">
        <v>995</v>
      </c>
      <c r="CG297" s="351"/>
      <c r="CH297" s="330" t="s">
        <v>995</v>
      </c>
      <c r="CI297" s="351"/>
      <c r="CJ297" s="330" t="s">
        <v>995</v>
      </c>
      <c r="CK297" s="351"/>
      <c r="CL297" s="330" t="s">
        <v>995</v>
      </c>
      <c r="CM297" s="351"/>
      <c r="CN297" s="330" t="s">
        <v>995</v>
      </c>
      <c r="CO297" s="351"/>
      <c r="CP297" s="330" t="s">
        <v>995</v>
      </c>
      <c r="CQ297" s="351"/>
      <c r="CR297" s="330" t="s">
        <v>995</v>
      </c>
      <c r="CS297" s="351"/>
      <c r="CT297" s="330" t="s">
        <v>995</v>
      </c>
      <c r="CU297" s="351"/>
      <c r="CV297" s="330" t="s">
        <v>995</v>
      </c>
      <c r="CW297" s="660"/>
      <c r="CX297" s="330" t="s">
        <v>995</v>
      </c>
      <c r="CY297" s="660"/>
      <c r="CZ297" s="330" t="s">
        <v>995</v>
      </c>
      <c r="DA297" s="660"/>
      <c r="DB297" s="136"/>
      <c r="DC297" s="136"/>
      <c r="DD297" s="136"/>
      <c r="DE297" s="136"/>
      <c r="DF297" s="136"/>
      <c r="DG297" s="136"/>
      <c r="DH297" s="136"/>
      <c r="DI297" s="136"/>
      <c r="DJ297" s="136"/>
      <c r="DK297" s="136"/>
      <c r="DL297" s="136"/>
      <c r="DM297" s="136"/>
      <c r="DN297" s="136"/>
      <c r="DO297" s="136"/>
      <c r="DP297" s="136"/>
      <c r="DQ297" s="136"/>
      <c r="DR297" s="136"/>
    </row>
  </sheetData>
  <mergeCells count="105">
    <mergeCell ref="CV273:CW273"/>
    <mergeCell ref="CX273:CY273"/>
    <mergeCell ref="CZ273:DA273"/>
    <mergeCell ref="CJ273:CK273"/>
    <mergeCell ref="CL273:CM273"/>
    <mergeCell ref="CN273:CO273"/>
    <mergeCell ref="CP273:CQ273"/>
    <mergeCell ref="CR273:CS273"/>
    <mergeCell ref="CT273:CU273"/>
    <mergeCell ref="BX273:BY273"/>
    <mergeCell ref="BZ273:CA273"/>
    <mergeCell ref="CB273:CC273"/>
    <mergeCell ref="CD273:CE273"/>
    <mergeCell ref="CF273:CG273"/>
    <mergeCell ref="CH273:CI273"/>
    <mergeCell ref="BL273:BM273"/>
    <mergeCell ref="BN273:BO273"/>
    <mergeCell ref="BP273:BQ273"/>
    <mergeCell ref="BR273:BS273"/>
    <mergeCell ref="BT273:BU273"/>
    <mergeCell ref="BV273:BW273"/>
    <mergeCell ref="AZ273:BA273"/>
    <mergeCell ref="BB273:BC273"/>
    <mergeCell ref="BD273:BE273"/>
    <mergeCell ref="BF273:BG273"/>
    <mergeCell ref="BH273:BI273"/>
    <mergeCell ref="BJ273:BK273"/>
    <mergeCell ref="AN273:AO273"/>
    <mergeCell ref="AP273:AQ273"/>
    <mergeCell ref="AR273:AS273"/>
    <mergeCell ref="AT273:AU273"/>
    <mergeCell ref="AV273:AW273"/>
    <mergeCell ref="AX273:AY273"/>
    <mergeCell ref="AB273:AC273"/>
    <mergeCell ref="AD273:AE273"/>
    <mergeCell ref="AF273:AG273"/>
    <mergeCell ref="AH273:AI273"/>
    <mergeCell ref="AJ273:AK273"/>
    <mergeCell ref="AL273:AM273"/>
    <mergeCell ref="P273:Q273"/>
    <mergeCell ref="R273:S273"/>
    <mergeCell ref="T273:U273"/>
    <mergeCell ref="V273:W273"/>
    <mergeCell ref="X273:Y273"/>
    <mergeCell ref="Z273:AA273"/>
    <mergeCell ref="CT12:CU12"/>
    <mergeCell ref="CV12:CW12"/>
    <mergeCell ref="CX12:CY12"/>
    <mergeCell ref="CZ12:DA12"/>
    <mergeCell ref="D273:E273"/>
    <mergeCell ref="F273:G273"/>
    <mergeCell ref="H273:I273"/>
    <mergeCell ref="J273:K273"/>
    <mergeCell ref="L273:M273"/>
    <mergeCell ref="N273:O273"/>
    <mergeCell ref="CH12:CI12"/>
    <mergeCell ref="CJ12:CK12"/>
    <mergeCell ref="CL12:CM12"/>
    <mergeCell ref="CN12:CO12"/>
    <mergeCell ref="CP12:CQ12"/>
    <mergeCell ref="CR12:CS12"/>
    <mergeCell ref="BV12:BW12"/>
    <mergeCell ref="BX12:BY12"/>
    <mergeCell ref="BZ12:CA12"/>
    <mergeCell ref="CB12:CC12"/>
    <mergeCell ref="CD12:CE12"/>
    <mergeCell ref="CF12:CG12"/>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N12:O12"/>
    <mergeCell ref="P12:Q12"/>
    <mergeCell ref="R12:S12"/>
    <mergeCell ref="T12:U12"/>
    <mergeCell ref="V12:W12"/>
    <mergeCell ref="X12:Y12"/>
    <mergeCell ref="F7:G7"/>
    <mergeCell ref="L9:M9"/>
    <mergeCell ref="D12:E12"/>
    <mergeCell ref="F12:G12"/>
    <mergeCell ref="H12:I12"/>
    <mergeCell ref="J12:K12"/>
    <mergeCell ref="L12:M12"/>
    <mergeCell ref="C10:M10"/>
  </mergeCells>
  <hyperlinks>
    <hyperlink ref="M268" r:id="rId1"/>
    <hyperlink ref="BC14" r:id="rId2" display="http://dor.mo.gov/business/sales/rates/2015/"/>
    <hyperlink ref="E5" r:id="rId3"/>
    <hyperlink ref="H1" location="Index!A1" display="Return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1" sqref="D1"/>
    </sheetView>
  </sheetViews>
  <sheetFormatPr defaultRowHeight="12.75" x14ac:dyDescent="0.2"/>
  <cols>
    <col min="1" max="1" width="41.7109375" customWidth="1"/>
    <col min="2" max="2" width="19.7109375" customWidth="1"/>
    <col min="3" max="5" width="41.7109375" customWidth="1"/>
  </cols>
  <sheetData>
    <row r="1" spans="1:10" x14ac:dyDescent="0.2">
      <c r="A1" s="32" t="s">
        <v>295</v>
      </c>
      <c r="B1">
        <v>3</v>
      </c>
      <c r="D1" s="48" t="s">
        <v>3630</v>
      </c>
    </row>
    <row r="2" spans="1:10" x14ac:dyDescent="0.2">
      <c r="A2" t="s">
        <v>633</v>
      </c>
      <c r="B2" t="s">
        <v>3534</v>
      </c>
    </row>
    <row r="3" spans="1:10" x14ac:dyDescent="0.2">
      <c r="A3" s="144"/>
      <c r="B3" s="144"/>
      <c r="C3" s="144"/>
      <c r="D3" s="144"/>
      <c r="E3" s="144"/>
      <c r="F3" s="144"/>
      <c r="G3" s="144"/>
    </row>
    <row r="4" spans="1:10" x14ac:dyDescent="0.2">
      <c r="A4" s="68"/>
    </row>
    <row r="6" spans="1:10" x14ac:dyDescent="0.2">
      <c r="A6" s="212" t="s">
        <v>3189</v>
      </c>
      <c r="B6" s="212"/>
      <c r="C6" s="212"/>
      <c r="D6" s="212"/>
      <c r="E6" s="212"/>
      <c r="F6" s="212"/>
      <c r="G6" s="212"/>
      <c r="H6" s="212"/>
      <c r="I6" s="212"/>
      <c r="J6" s="212"/>
    </row>
    <row r="7" spans="1:10" x14ac:dyDescent="0.2">
      <c r="A7" s="212" t="s">
        <v>3188</v>
      </c>
      <c r="B7" s="57">
        <v>24100</v>
      </c>
      <c r="C7" s="48" t="s">
        <v>3545</v>
      </c>
      <c r="D7" s="212"/>
      <c r="E7" s="212"/>
      <c r="F7" s="212"/>
      <c r="G7" s="212"/>
      <c r="H7" s="212"/>
      <c r="I7" s="212"/>
      <c r="J7" s="212"/>
    </row>
    <row r="8" spans="1:10" x14ac:dyDescent="0.2">
      <c r="A8" s="212" t="s">
        <v>3190</v>
      </c>
      <c r="B8" s="57">
        <v>10100</v>
      </c>
      <c r="C8" s="48" t="s">
        <v>3546</v>
      </c>
      <c r="D8" s="212"/>
      <c r="E8" s="212"/>
      <c r="F8" s="212"/>
      <c r="G8" s="212"/>
      <c r="H8" s="212"/>
      <c r="I8" s="212"/>
      <c r="J8" s="212"/>
    </row>
    <row r="9" spans="1:10" x14ac:dyDescent="0.2">
      <c r="A9" s="212" t="s">
        <v>3191</v>
      </c>
      <c r="B9" s="57">
        <f>SUM(B7:B8)</f>
        <v>34200</v>
      </c>
      <c r="C9" s="212"/>
      <c r="D9" s="212"/>
      <c r="E9" s="212"/>
      <c r="F9" s="212"/>
      <c r="G9" s="212"/>
      <c r="H9" s="212"/>
      <c r="I9" s="212"/>
      <c r="J9" s="212"/>
    </row>
    <row r="10" spans="1:10" x14ac:dyDescent="0.2">
      <c r="A10" s="212" t="s">
        <v>3192</v>
      </c>
      <c r="B10" s="221">
        <v>3980783</v>
      </c>
      <c r="C10" s="48" t="s">
        <v>3539</v>
      </c>
      <c r="D10" s="212"/>
      <c r="E10" s="212"/>
      <c r="F10" s="212"/>
      <c r="G10" s="212"/>
      <c r="H10" s="212"/>
      <c r="I10" s="212"/>
      <c r="J10" s="212"/>
    </row>
    <row r="11" spans="1:10" x14ac:dyDescent="0.2">
      <c r="A11" s="219" t="s">
        <v>3193</v>
      </c>
      <c r="B11" s="222">
        <v>331449281</v>
      </c>
      <c r="C11" s="48" t="s">
        <v>3539</v>
      </c>
      <c r="D11" s="212"/>
      <c r="E11" s="212"/>
      <c r="F11" s="212"/>
      <c r="G11" s="212"/>
      <c r="H11" s="212"/>
      <c r="I11" s="212"/>
      <c r="J11" s="212"/>
    </row>
    <row r="12" spans="1:10" x14ac:dyDescent="0.2">
      <c r="A12" s="219" t="s">
        <v>3194</v>
      </c>
      <c r="B12" s="223">
        <f>+B10/B11</f>
        <v>1.201023272094532E-2</v>
      </c>
      <c r="C12" s="212"/>
      <c r="D12" s="212"/>
      <c r="E12" s="212"/>
      <c r="F12" s="212"/>
      <c r="G12" s="212"/>
      <c r="H12" s="212"/>
      <c r="I12" s="212"/>
      <c r="J12" s="212"/>
    </row>
    <row r="13" spans="1:10" x14ac:dyDescent="0.2">
      <c r="A13" s="219" t="s">
        <v>3196</v>
      </c>
      <c r="B13" s="224">
        <f>+B12*B9</f>
        <v>410.74995905632994</v>
      </c>
      <c r="C13" s="212" t="s">
        <v>3195</v>
      </c>
      <c r="D13" s="212"/>
      <c r="E13" s="212"/>
      <c r="F13" s="212"/>
      <c r="G13" s="212"/>
      <c r="H13" s="212"/>
      <c r="I13" s="212"/>
      <c r="J13" s="212"/>
    </row>
    <row r="14" spans="1:10" x14ac:dyDescent="0.2">
      <c r="A14" s="219" t="s">
        <v>3197</v>
      </c>
      <c r="B14" s="224">
        <f>0.045*B13</f>
        <v>18.483748157534848</v>
      </c>
      <c r="C14" s="212"/>
      <c r="D14" s="212"/>
      <c r="E14" s="212"/>
      <c r="F14" s="212"/>
      <c r="G14" s="212"/>
      <c r="H14" s="212"/>
      <c r="I14" s="212"/>
      <c r="J14" s="212"/>
    </row>
    <row r="15" spans="1:10" x14ac:dyDescent="0.2">
      <c r="A15" s="219"/>
      <c r="B15" s="220"/>
      <c r="C15" s="212"/>
      <c r="D15" s="212"/>
      <c r="E15" s="212"/>
      <c r="F15" s="212"/>
      <c r="G15" s="212"/>
      <c r="H15" s="212"/>
      <c r="I15" s="212"/>
      <c r="J15" s="212"/>
    </row>
  </sheetData>
  <hyperlinks>
    <hyperlink ref="C7" r:id="rId1" location="2.1"/>
    <hyperlink ref="C8" r:id="rId2"/>
    <hyperlink ref="C10" r:id="rId3"/>
    <hyperlink ref="C11" r:id="rId4"/>
    <hyperlink ref="D1" location="Index!A1" display="Return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election activeCell="H1" sqref="H1"/>
    </sheetView>
  </sheetViews>
  <sheetFormatPr defaultRowHeight="12.75" x14ac:dyDescent="0.2"/>
  <cols>
    <col min="1" max="1" width="46.140625" customWidth="1"/>
    <col min="2" max="2" width="18.28515625" customWidth="1"/>
    <col min="3" max="3" width="11.5703125" customWidth="1"/>
    <col min="4" max="4" width="12.85546875" customWidth="1"/>
    <col min="5" max="5" width="20.28515625" customWidth="1"/>
    <col min="7" max="7" width="27.7109375" customWidth="1"/>
    <col min="8" max="8" width="22.7109375" customWidth="1"/>
    <col min="10" max="10" width="26.5703125" customWidth="1"/>
    <col min="13" max="13" width="33" customWidth="1"/>
  </cols>
  <sheetData>
    <row r="1" spans="1:15" x14ac:dyDescent="0.2">
      <c r="A1" t="s">
        <v>162</v>
      </c>
      <c r="B1">
        <v>3</v>
      </c>
      <c r="H1" s="48" t="s">
        <v>3630</v>
      </c>
    </row>
    <row r="2" spans="1:15" x14ac:dyDescent="0.2">
      <c r="A2" t="s">
        <v>633</v>
      </c>
      <c r="B2" t="s">
        <v>3504</v>
      </c>
    </row>
    <row r="5" spans="1:15" x14ac:dyDescent="0.2">
      <c r="A5" t="s">
        <v>3507</v>
      </c>
    </row>
    <row r="6" spans="1:15" s="212" customFormat="1" x14ac:dyDescent="0.2"/>
    <row r="7" spans="1:15" s="212" customFormat="1" x14ac:dyDescent="0.2">
      <c r="A7" s="22" t="s">
        <v>35</v>
      </c>
      <c r="B7" s="282"/>
      <c r="C7" s="282"/>
      <c r="D7" s="282"/>
      <c r="E7" s="282"/>
      <c r="F7" s="282"/>
      <c r="G7" s="282"/>
      <c r="H7" s="282"/>
    </row>
    <row r="8" spans="1:15" s="212" customFormat="1" x14ac:dyDescent="0.2">
      <c r="A8" s="282"/>
      <c r="B8" s="282"/>
      <c r="C8" s="282"/>
      <c r="D8" s="282"/>
      <c r="E8" s="282"/>
      <c r="F8" s="282"/>
      <c r="G8" s="282"/>
      <c r="H8" s="282"/>
    </row>
    <row r="9" spans="1:15" s="212" customFormat="1" x14ac:dyDescent="0.2">
      <c r="A9" s="83" t="s">
        <v>36</v>
      </c>
      <c r="B9" s="83" t="s">
        <v>37</v>
      </c>
      <c r="C9" s="83" t="s">
        <v>38</v>
      </c>
      <c r="D9" s="83" t="s">
        <v>39</v>
      </c>
      <c r="E9" s="84" t="s">
        <v>40</v>
      </c>
      <c r="F9" s="84" t="s">
        <v>41</v>
      </c>
      <c r="G9" s="84" t="s">
        <v>42</v>
      </c>
      <c r="H9" s="84" t="s">
        <v>43</v>
      </c>
    </row>
    <row r="10" spans="1:15" s="212" customFormat="1" x14ac:dyDescent="0.2">
      <c r="A10" s="83" t="s">
        <v>44</v>
      </c>
      <c r="B10" s="83" t="s">
        <v>45</v>
      </c>
      <c r="C10" s="85">
        <v>22000</v>
      </c>
      <c r="D10" s="86">
        <v>36000</v>
      </c>
      <c r="E10" s="86">
        <v>59000</v>
      </c>
      <c r="F10" s="86">
        <v>95000</v>
      </c>
      <c r="G10" s="86">
        <v>209000</v>
      </c>
      <c r="H10" s="86">
        <v>478000</v>
      </c>
    </row>
    <row r="11" spans="1:15" s="212" customFormat="1" x14ac:dyDescent="0.2">
      <c r="A11" s="83" t="s">
        <v>46</v>
      </c>
      <c r="B11" s="87">
        <v>22000</v>
      </c>
      <c r="C11" s="87">
        <v>36000</v>
      </c>
      <c r="D11" s="88">
        <v>59000</v>
      </c>
      <c r="E11" s="88">
        <v>95000</v>
      </c>
      <c r="F11" s="88">
        <v>209000</v>
      </c>
      <c r="G11" s="88">
        <v>478000</v>
      </c>
      <c r="H11" s="84" t="s">
        <v>47</v>
      </c>
    </row>
    <row r="12" spans="1:15" s="212" customFormat="1" x14ac:dyDescent="0.2">
      <c r="A12" s="83" t="s">
        <v>48</v>
      </c>
      <c r="B12" s="87">
        <v>13000</v>
      </c>
      <c r="C12" s="87">
        <v>28000</v>
      </c>
      <c r="D12" s="88">
        <v>46000</v>
      </c>
      <c r="E12" s="88">
        <v>76000</v>
      </c>
      <c r="F12" s="88">
        <v>135000</v>
      </c>
      <c r="G12" s="88">
        <v>294000</v>
      </c>
      <c r="H12" s="88">
        <v>1228000</v>
      </c>
    </row>
    <row r="13" spans="1:15" s="212" customFormat="1" x14ac:dyDescent="0.2"/>
    <row r="15" spans="1:15" ht="36" x14ac:dyDescent="0.25">
      <c r="A15" s="766" t="s">
        <v>730</v>
      </c>
      <c r="B15" s="766"/>
      <c r="C15" s="766"/>
      <c r="D15" s="766"/>
      <c r="E15" s="766"/>
      <c r="F15" s="766"/>
      <c r="G15" s="766"/>
      <c r="H15" s="766"/>
      <c r="I15" s="71"/>
      <c r="J15" s="154" t="s">
        <v>731</v>
      </c>
      <c r="K15" s="40"/>
      <c r="L15" s="40"/>
      <c r="M15" s="40"/>
      <c r="N15" s="40"/>
      <c r="O15" s="40"/>
    </row>
    <row r="16" spans="1:15" ht="15.75" x14ac:dyDescent="0.25">
      <c r="A16" s="72" t="s">
        <v>50</v>
      </c>
      <c r="B16" s="81">
        <v>1.700544463031406E-4</v>
      </c>
      <c r="C16" s="81">
        <v>1.5110606186759479E-4</v>
      </c>
      <c r="D16" s="81">
        <v>1.286741593946803E-4</v>
      </c>
      <c r="E16" s="81">
        <v>8.0438799415169076E-5</v>
      </c>
      <c r="F16" s="81">
        <v>6.1391195808585853E-5</v>
      </c>
      <c r="G16" s="81">
        <v>3.2737637308684303E-5</v>
      </c>
      <c r="H16" s="81">
        <v>1.5465148958006101E-5</v>
      </c>
      <c r="I16" s="75"/>
      <c r="J16" s="76">
        <v>11000</v>
      </c>
      <c r="K16" s="40"/>
      <c r="L16" s="40"/>
      <c r="M16" s="79" t="s">
        <v>732</v>
      </c>
      <c r="N16" s="78">
        <v>0.11100726122329563</v>
      </c>
      <c r="O16" s="40"/>
    </row>
    <row r="17" spans="1:15" ht="15.75" x14ac:dyDescent="0.25">
      <c r="A17" s="72" t="s">
        <v>51</v>
      </c>
      <c r="B17" s="77">
        <v>2.2089417937604585</v>
      </c>
      <c r="C17" s="77">
        <v>4.2908592011999103</v>
      </c>
      <c r="D17" s="77">
        <v>5.9771573680292294</v>
      </c>
      <c r="E17" s="77">
        <v>6.1300221862133277</v>
      </c>
      <c r="F17" s="77">
        <v>8.2761385110472165</v>
      </c>
      <c r="G17" s="77">
        <v>9.6258518476457819</v>
      </c>
      <c r="H17" s="77">
        <v>18.990518498558757</v>
      </c>
      <c r="I17" s="71"/>
      <c r="J17" s="71"/>
      <c r="K17" s="40"/>
      <c r="L17" s="40"/>
      <c r="M17" s="40"/>
      <c r="N17" s="40"/>
      <c r="O17" s="40"/>
    </row>
    <row r="18" spans="1:15" ht="15.75" x14ac:dyDescent="0.25">
      <c r="A18" s="72" t="s">
        <v>57</v>
      </c>
      <c r="B18" s="78">
        <v>7.9438077659898632E-2</v>
      </c>
      <c r="C18" s="78">
        <v>0.15434658126680895</v>
      </c>
      <c r="D18" s="78">
        <v>0.21567430159652898</v>
      </c>
      <c r="E18" s="78">
        <v>0.21906091528866342</v>
      </c>
      <c r="F18" s="78">
        <v>0.22724681535591607</v>
      </c>
      <c r="G18" s="78">
        <v>6.9455512026233041E-2</v>
      </c>
      <c r="H18" s="78">
        <v>3.4227545681936346E-2</v>
      </c>
      <c r="I18" s="71"/>
      <c r="J18" s="155" t="s">
        <v>733</v>
      </c>
      <c r="K18" s="78">
        <v>0.66851987581189998</v>
      </c>
      <c r="L18" s="40"/>
      <c r="M18" s="79" t="s">
        <v>734</v>
      </c>
      <c r="N18" s="78">
        <v>0.33092987306408544</v>
      </c>
      <c r="O18" s="40"/>
    </row>
    <row r="19" spans="1:15" ht="15.75" x14ac:dyDescent="0.25">
      <c r="A19" s="156"/>
      <c r="B19" s="99"/>
      <c r="C19" s="99"/>
      <c r="D19" s="99"/>
      <c r="E19" s="99"/>
      <c r="F19" s="99"/>
      <c r="G19" s="99"/>
      <c r="H19" s="99"/>
      <c r="I19" s="71"/>
      <c r="J19" s="157"/>
      <c r="K19" s="99"/>
      <c r="L19" s="40"/>
      <c r="M19" s="158"/>
      <c r="N19" s="99"/>
      <c r="O19" s="40"/>
    </row>
    <row r="20" spans="1:15" ht="36" x14ac:dyDescent="0.25">
      <c r="A20" s="766" t="s">
        <v>735</v>
      </c>
      <c r="B20" s="766"/>
      <c r="C20" s="766"/>
      <c r="D20" s="766"/>
      <c r="E20" s="766"/>
      <c r="F20" s="766"/>
      <c r="G20" s="766"/>
      <c r="H20" s="766"/>
      <c r="I20" s="71"/>
      <c r="J20" s="154" t="s">
        <v>731</v>
      </c>
      <c r="K20" s="40"/>
      <c r="L20" s="40"/>
      <c r="M20" s="40"/>
      <c r="N20" s="40"/>
      <c r="O20" s="40"/>
    </row>
    <row r="21" spans="1:15" ht="15.75" x14ac:dyDescent="0.25">
      <c r="A21" s="72" t="s">
        <v>50</v>
      </c>
      <c r="B21" s="82">
        <v>2.0668328659872114E-3</v>
      </c>
      <c r="C21" s="82">
        <v>1.6692125904590458E-3</v>
      </c>
      <c r="D21" s="82">
        <v>1.3145710880633429E-3</v>
      </c>
      <c r="E21" s="82">
        <v>9.4993103634486375E-4</v>
      </c>
      <c r="F21" s="82">
        <v>6.2363511363739842E-4</v>
      </c>
      <c r="G21" s="82">
        <v>3.6304787140990921E-4</v>
      </c>
      <c r="H21" s="82">
        <v>1.8610255069175202E-4</v>
      </c>
      <c r="I21" s="75"/>
      <c r="J21" s="76">
        <v>144000</v>
      </c>
      <c r="K21" s="40"/>
      <c r="L21" s="40"/>
      <c r="M21" s="79" t="s">
        <v>732</v>
      </c>
      <c r="N21" s="78">
        <v>0.22014687261238342</v>
      </c>
      <c r="O21" s="40"/>
    </row>
    <row r="22" spans="1:15" ht="15.75" x14ac:dyDescent="0.25">
      <c r="A22" s="72" t="s">
        <v>51</v>
      </c>
      <c r="B22" s="77">
        <v>26.847363286569614</v>
      </c>
      <c r="C22" s="77">
        <v>47.399529271075025</v>
      </c>
      <c r="D22" s="77">
        <v>61.06430616511846</v>
      </c>
      <c r="E22" s="77">
        <v>72.391661368686698</v>
      </c>
      <c r="F22" s="77">
        <v>84.072162348952816</v>
      </c>
      <c r="G22" s="77">
        <v>106.74701386797756</v>
      </c>
      <c r="H22" s="77">
        <v>228.52569614022929</v>
      </c>
      <c r="I22" s="71"/>
      <c r="J22" s="71"/>
      <c r="K22" s="40"/>
      <c r="L22" s="40"/>
      <c r="M22" s="40"/>
      <c r="N22" s="40"/>
      <c r="O22" s="40"/>
    </row>
    <row r="23" spans="1:15" ht="15.75" x14ac:dyDescent="0.25">
      <c r="A23" s="72" t="s">
        <v>57</v>
      </c>
      <c r="B23" s="78">
        <v>8.8079228275894317E-2</v>
      </c>
      <c r="C23" s="78">
        <v>0.1555443307478569</v>
      </c>
      <c r="D23" s="78">
        <v>0.20101040774925646</v>
      </c>
      <c r="E23" s="78">
        <v>0.2360036951088208</v>
      </c>
      <c r="F23" s="78">
        <v>0.21059578778405227</v>
      </c>
      <c r="G23" s="78">
        <v>7.0266882630848529E-2</v>
      </c>
      <c r="H23" s="78">
        <v>3.757520722759889E-2</v>
      </c>
      <c r="I23" s="71"/>
      <c r="J23" s="155" t="s">
        <v>733</v>
      </c>
      <c r="K23" s="78">
        <v>0.6806376618818285</v>
      </c>
      <c r="L23" s="40"/>
      <c r="M23" s="79" t="s">
        <v>734</v>
      </c>
      <c r="N23" s="78">
        <v>0.3184378776424997</v>
      </c>
      <c r="O23" s="40"/>
    </row>
    <row r="25" spans="1:15" ht="15.75" x14ac:dyDescent="0.25">
      <c r="A25" s="218" t="s">
        <v>3187</v>
      </c>
    </row>
    <row r="28" spans="1:15" s="283" customFormat="1" x14ac:dyDescent="0.2"/>
    <row r="31" spans="1:15" x14ac:dyDescent="0.2">
      <c r="A31" t="s">
        <v>3509</v>
      </c>
      <c r="B31" t="s">
        <v>3510</v>
      </c>
    </row>
    <row r="34" spans="1:2" x14ac:dyDescent="0.2">
      <c r="A34" s="40" t="s">
        <v>382</v>
      </c>
      <c r="B34" s="57" t="s">
        <v>503</v>
      </c>
    </row>
    <row r="35" spans="1:2" x14ac:dyDescent="0.2">
      <c r="A35" s="40" t="s">
        <v>371</v>
      </c>
      <c r="B35" s="57">
        <v>7700000</v>
      </c>
    </row>
    <row r="36" spans="1:2" x14ac:dyDescent="0.2">
      <c r="A36" s="40" t="s">
        <v>381</v>
      </c>
      <c r="B36" s="57">
        <v>4316000</v>
      </c>
    </row>
    <row r="37" spans="1:2" x14ac:dyDescent="0.2">
      <c r="A37" s="40" t="s">
        <v>415</v>
      </c>
      <c r="B37" s="57">
        <v>1416000</v>
      </c>
    </row>
    <row r="38" spans="1:2" x14ac:dyDescent="0.2">
      <c r="A38" s="40" t="s">
        <v>394</v>
      </c>
      <c r="B38" s="57">
        <v>773000</v>
      </c>
    </row>
    <row r="39" spans="1:2" x14ac:dyDescent="0.2">
      <c r="A39" s="40" t="s">
        <v>399</v>
      </c>
      <c r="B39" s="57">
        <v>763000</v>
      </c>
    </row>
    <row r="40" spans="1:2" x14ac:dyDescent="0.2">
      <c r="A40" s="40" t="s">
        <v>376</v>
      </c>
      <c r="B40" s="57">
        <v>592000</v>
      </c>
    </row>
    <row r="41" spans="1:2" x14ac:dyDescent="0.2">
      <c r="A41" s="40" t="s">
        <v>385</v>
      </c>
      <c r="B41" s="57">
        <v>570000</v>
      </c>
    </row>
    <row r="42" spans="1:2" x14ac:dyDescent="0.2">
      <c r="A42" s="40" t="s">
        <v>375</v>
      </c>
      <c r="B42" s="57">
        <v>352000</v>
      </c>
    </row>
    <row r="43" spans="1:2" x14ac:dyDescent="0.2">
      <c r="A43" s="40" t="s">
        <v>387</v>
      </c>
      <c r="B43" s="57">
        <v>136000</v>
      </c>
    </row>
    <row r="44" spans="1:2" x14ac:dyDescent="0.2">
      <c r="A44" s="40" t="s">
        <v>408</v>
      </c>
      <c r="B44" s="57">
        <v>91000</v>
      </c>
    </row>
    <row r="45" spans="1:2" x14ac:dyDescent="0.2">
      <c r="A45" s="40" t="s">
        <v>370</v>
      </c>
      <c r="B45" s="57">
        <v>52000</v>
      </c>
    </row>
    <row r="46" spans="1:2" x14ac:dyDescent="0.2">
      <c r="A46" s="40" t="s">
        <v>511</v>
      </c>
      <c r="B46" s="102"/>
    </row>
    <row r="47" spans="1:2" x14ac:dyDescent="0.2">
      <c r="A47" s="40" t="s">
        <v>386</v>
      </c>
      <c r="B47" s="57"/>
    </row>
    <row r="48" spans="1:2" x14ac:dyDescent="0.2">
      <c r="A48" s="40" t="s">
        <v>388</v>
      </c>
      <c r="B48" s="102"/>
    </row>
    <row r="49" spans="1:2" x14ac:dyDescent="0.2">
      <c r="A49" s="40" t="s">
        <v>389</v>
      </c>
      <c r="B49" s="57"/>
    </row>
    <row r="50" spans="1:2" x14ac:dyDescent="0.2">
      <c r="A50" s="40" t="s">
        <v>390</v>
      </c>
      <c r="B50" s="57"/>
    </row>
    <row r="51" spans="1:2" x14ac:dyDescent="0.2">
      <c r="A51" s="40" t="s">
        <v>393</v>
      </c>
      <c r="B51" s="57"/>
    </row>
    <row r="52" spans="1:2" x14ac:dyDescent="0.2">
      <c r="A52" s="40" t="s">
        <v>395</v>
      </c>
      <c r="B52" s="57"/>
    </row>
    <row r="53" spans="1:2" x14ac:dyDescent="0.2">
      <c r="A53" s="40" t="s">
        <v>397</v>
      </c>
      <c r="B53" s="57"/>
    </row>
    <row r="54" spans="1:2" x14ac:dyDescent="0.2">
      <c r="A54" s="40" t="s">
        <v>398</v>
      </c>
      <c r="B54" s="57"/>
    </row>
    <row r="55" spans="1:2" x14ac:dyDescent="0.2">
      <c r="A55" s="40" t="s">
        <v>407</v>
      </c>
      <c r="B55" s="57"/>
    </row>
    <row r="56" spans="1:2" x14ac:dyDescent="0.2">
      <c r="A56" s="40" t="s">
        <v>409</v>
      </c>
      <c r="B56" s="57"/>
    </row>
    <row r="57" spans="1:2" x14ac:dyDescent="0.2">
      <c r="A57" s="40" t="s">
        <v>411</v>
      </c>
      <c r="B57" s="57"/>
    </row>
    <row r="58" spans="1:2" x14ac:dyDescent="0.2">
      <c r="A58" s="40" t="s">
        <v>413</v>
      </c>
      <c r="B58" s="57"/>
    </row>
    <row r="59" spans="1:2" x14ac:dyDescent="0.2">
      <c r="B59" s="43">
        <f>SUM(B35:B58)</f>
        <v>16761000</v>
      </c>
    </row>
    <row r="62" spans="1:2" x14ac:dyDescent="0.2">
      <c r="A62" t="s">
        <v>3508</v>
      </c>
    </row>
  </sheetData>
  <sortState ref="A52:C110">
    <sortCondition descending="1" ref="B52:B110"/>
  </sortState>
  <mergeCells count="2">
    <mergeCell ref="A15:H15"/>
    <mergeCell ref="A20:H20"/>
  </mergeCells>
  <hyperlinks>
    <hyperlink ref="H1" location="Index!A1" display="Return to Index"/>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H1" sqref="H1"/>
    </sheetView>
  </sheetViews>
  <sheetFormatPr defaultRowHeight="12.75" x14ac:dyDescent="0.2"/>
  <cols>
    <col min="1" max="1" width="40.28515625" customWidth="1"/>
    <col min="2" max="2" width="20.28515625" customWidth="1"/>
  </cols>
  <sheetData>
    <row r="1" spans="1:10" x14ac:dyDescent="0.2">
      <c r="A1" t="s">
        <v>162</v>
      </c>
      <c r="B1">
        <v>3</v>
      </c>
      <c r="H1" s="48" t="s">
        <v>3630</v>
      </c>
    </row>
    <row r="2" spans="1:10" x14ac:dyDescent="0.2">
      <c r="A2" t="s">
        <v>633</v>
      </c>
      <c r="B2" s="282" t="s">
        <v>3333</v>
      </c>
    </row>
    <row r="4" spans="1:10" x14ac:dyDescent="0.2">
      <c r="B4" s="282"/>
      <c r="C4" s="282"/>
      <c r="D4" s="282"/>
      <c r="E4" s="282"/>
      <c r="F4" s="282"/>
      <c r="G4" s="282"/>
      <c r="H4" s="282"/>
      <c r="I4" s="282"/>
      <c r="J4" s="282"/>
    </row>
    <row r="5" spans="1:10" x14ac:dyDescent="0.2">
      <c r="A5" s="282"/>
      <c r="B5" s="282"/>
      <c r="C5" s="282"/>
      <c r="D5" s="282"/>
      <c r="E5" s="282"/>
      <c r="F5" s="282"/>
      <c r="G5" s="282"/>
      <c r="H5" s="282"/>
      <c r="I5" s="282"/>
      <c r="J5" s="282"/>
    </row>
    <row r="6" spans="1:10" x14ac:dyDescent="0.2">
      <c r="A6" s="282" t="s">
        <v>3334</v>
      </c>
      <c r="B6" s="282" t="s">
        <v>3505</v>
      </c>
      <c r="C6" s="282"/>
      <c r="D6" s="282"/>
      <c r="E6" s="282"/>
      <c r="F6" s="282"/>
      <c r="G6" s="48" t="s">
        <v>161</v>
      </c>
      <c r="H6" s="282"/>
      <c r="I6" s="282"/>
      <c r="J6" s="282"/>
    </row>
    <row r="7" spans="1:10" x14ac:dyDescent="0.2">
      <c r="A7" s="282"/>
      <c r="B7" s="282"/>
      <c r="C7" s="282"/>
      <c r="D7" s="282"/>
      <c r="E7" s="282"/>
      <c r="F7" s="282"/>
      <c r="G7" s="282"/>
      <c r="H7" s="282"/>
      <c r="I7" s="282"/>
      <c r="J7" s="282"/>
    </row>
    <row r="8" spans="1:10" x14ac:dyDescent="0.2">
      <c r="A8" s="282" t="s">
        <v>62</v>
      </c>
      <c r="B8" s="282" t="s">
        <v>3336</v>
      </c>
      <c r="C8" s="282"/>
      <c r="D8" s="282"/>
      <c r="E8" s="282"/>
      <c r="F8" s="282"/>
      <c r="G8" s="282"/>
      <c r="H8" s="282"/>
      <c r="I8" s="282"/>
      <c r="J8" s="282"/>
    </row>
    <row r="9" spans="1:10" x14ac:dyDescent="0.2">
      <c r="A9" s="282" t="s">
        <v>3335</v>
      </c>
      <c r="B9" s="57">
        <v>573.9</v>
      </c>
      <c r="C9" s="282"/>
      <c r="D9" s="282"/>
      <c r="E9" s="282"/>
      <c r="F9" s="282"/>
      <c r="G9" s="282"/>
      <c r="H9" s="282"/>
      <c r="I9" s="282"/>
      <c r="J9" s="282"/>
    </row>
    <row r="10" spans="1:10" x14ac:dyDescent="0.2">
      <c r="A10" s="282" t="s">
        <v>3337</v>
      </c>
      <c r="B10" s="57">
        <v>420.9</v>
      </c>
      <c r="C10" s="282"/>
      <c r="D10" s="282"/>
      <c r="E10" s="282"/>
      <c r="F10" s="282"/>
      <c r="G10" s="282"/>
      <c r="H10" s="282"/>
      <c r="I10" s="282"/>
      <c r="J10" s="282"/>
    </row>
    <row r="11" spans="1:10" x14ac:dyDescent="0.2">
      <c r="A11" s="282" t="s">
        <v>3338</v>
      </c>
      <c r="B11" s="57">
        <v>131.9</v>
      </c>
      <c r="C11" s="282"/>
      <c r="D11" s="282"/>
      <c r="E11" s="282"/>
      <c r="F11" s="282"/>
      <c r="G11" s="282"/>
      <c r="H11" s="282"/>
      <c r="I11" s="282"/>
      <c r="J11" s="282"/>
    </row>
    <row r="12" spans="1:10" x14ac:dyDescent="0.2">
      <c r="A12" s="282" t="s">
        <v>3339</v>
      </c>
      <c r="B12" s="57">
        <v>21.5</v>
      </c>
      <c r="C12" s="282"/>
      <c r="D12" s="282"/>
      <c r="E12" s="282"/>
      <c r="F12" s="282"/>
      <c r="G12" s="282"/>
      <c r="H12" s="282"/>
      <c r="I12" s="282"/>
      <c r="J12" s="282"/>
    </row>
    <row r="13" spans="1:10" x14ac:dyDescent="0.2">
      <c r="A13" s="282" t="s">
        <v>3340</v>
      </c>
      <c r="B13" s="57">
        <v>33.9</v>
      </c>
      <c r="C13" s="282"/>
      <c r="D13" s="282"/>
      <c r="E13" s="282"/>
      <c r="F13" s="282"/>
      <c r="G13" s="282"/>
      <c r="H13" s="282"/>
      <c r="I13" s="282"/>
      <c r="J13" s="282"/>
    </row>
    <row r="14" spans="1:10" x14ac:dyDescent="0.2">
      <c r="A14" s="282" t="s">
        <v>3341</v>
      </c>
      <c r="B14" s="57">
        <v>14.2</v>
      </c>
      <c r="C14" s="282"/>
      <c r="D14" s="282"/>
      <c r="E14" s="282"/>
      <c r="F14" s="282"/>
      <c r="G14" s="282"/>
      <c r="H14" s="282"/>
      <c r="I14" s="282"/>
      <c r="J14" s="282"/>
    </row>
    <row r="15" spans="1:10" x14ac:dyDescent="0.2">
      <c r="A15" s="282" t="s">
        <v>3342</v>
      </c>
      <c r="B15" s="57">
        <f>1.4*85</f>
        <v>118.99999999999999</v>
      </c>
      <c r="C15" s="282" t="s">
        <v>3343</v>
      </c>
      <c r="D15" s="282"/>
      <c r="E15" s="282"/>
      <c r="F15" s="282"/>
      <c r="G15" s="282"/>
      <c r="H15" s="282"/>
      <c r="I15" s="282"/>
      <c r="J15" s="282"/>
    </row>
    <row r="16" spans="1:10" x14ac:dyDescent="0.2">
      <c r="A16" s="282" t="s">
        <v>618</v>
      </c>
      <c r="B16" s="57">
        <f>SUM(B9:B15)</f>
        <v>1315.3000000000002</v>
      </c>
      <c r="C16" s="282"/>
      <c r="D16" s="282"/>
      <c r="E16" s="282"/>
      <c r="F16" s="282"/>
      <c r="G16" s="282"/>
      <c r="H16" s="282"/>
      <c r="I16" s="282"/>
      <c r="J16" s="282"/>
    </row>
    <row r="17" spans="1:10" x14ac:dyDescent="0.2">
      <c r="A17" s="282" t="s">
        <v>3344</v>
      </c>
      <c r="B17" s="59">
        <v>1.9E-2</v>
      </c>
      <c r="C17" s="282"/>
      <c r="D17" s="282"/>
      <c r="E17" s="282"/>
      <c r="F17" s="282"/>
      <c r="G17" s="282"/>
      <c r="H17" s="282"/>
      <c r="I17" s="282"/>
      <c r="J17" s="282"/>
    </row>
    <row r="18" spans="1:10" x14ac:dyDescent="0.2">
      <c r="A18" s="282" t="s">
        <v>3345</v>
      </c>
      <c r="B18" s="141">
        <f>+B17*B16</f>
        <v>24.990700000000004</v>
      </c>
      <c r="C18" s="282"/>
      <c r="D18" s="282"/>
      <c r="E18" s="282"/>
      <c r="F18" s="282"/>
      <c r="G18" s="282"/>
      <c r="H18" s="282"/>
      <c r="I18" s="282"/>
      <c r="J18" s="282"/>
    </row>
    <row r="19" spans="1:10" x14ac:dyDescent="0.2">
      <c r="A19" s="282"/>
      <c r="B19" s="282"/>
      <c r="C19" s="282"/>
      <c r="D19" s="282"/>
      <c r="E19" s="282"/>
      <c r="F19" s="282"/>
      <c r="G19" s="282"/>
      <c r="H19" s="282"/>
      <c r="I19" s="282"/>
      <c r="J19" s="282"/>
    </row>
    <row r="20" spans="1:10" x14ac:dyDescent="0.2">
      <c r="A20" s="282" t="s">
        <v>3346</v>
      </c>
      <c r="B20" s="282" t="s">
        <v>3506</v>
      </c>
      <c r="C20" s="282"/>
      <c r="D20" s="282"/>
      <c r="E20" s="282"/>
      <c r="F20" s="282"/>
      <c r="G20" s="282"/>
      <c r="H20" s="48" t="s">
        <v>161</v>
      </c>
      <c r="I20" s="282"/>
      <c r="J20" s="282"/>
    </row>
    <row r="21" spans="1:10" x14ac:dyDescent="0.2">
      <c r="A21" s="282"/>
      <c r="B21" s="282"/>
      <c r="C21" s="282"/>
      <c r="D21" s="282"/>
      <c r="E21" s="282"/>
      <c r="F21" s="282"/>
      <c r="G21" s="282"/>
      <c r="H21" s="282"/>
      <c r="I21" s="282"/>
      <c r="J21" s="282"/>
    </row>
    <row r="22" spans="1:10" x14ac:dyDescent="0.2">
      <c r="A22" s="282" t="s">
        <v>3347</v>
      </c>
      <c r="B22" s="57">
        <v>12000</v>
      </c>
      <c r="C22" s="282"/>
      <c r="D22" s="282"/>
      <c r="E22" s="282"/>
      <c r="F22" s="282"/>
      <c r="G22" s="282"/>
      <c r="H22" s="282"/>
      <c r="I22" s="282"/>
      <c r="J22" s="282"/>
    </row>
    <row r="23" spans="1:10" x14ac:dyDescent="0.2">
      <c r="A23" s="282" t="s">
        <v>3348</v>
      </c>
      <c r="B23" s="297">
        <v>2.1999999999999999E-2</v>
      </c>
      <c r="C23" s="282"/>
      <c r="D23" s="282"/>
      <c r="E23" s="282"/>
      <c r="F23" s="282"/>
      <c r="G23" s="282"/>
      <c r="H23" s="282"/>
      <c r="I23" s="282"/>
      <c r="J23" s="282"/>
    </row>
    <row r="24" spans="1:10" x14ac:dyDescent="0.2">
      <c r="A24" s="282" t="s">
        <v>3349</v>
      </c>
      <c r="B24" s="57">
        <f>+B23*B22</f>
        <v>264</v>
      </c>
      <c r="C24" s="282"/>
      <c r="D24" s="282"/>
      <c r="E24" s="282"/>
      <c r="F24" s="282"/>
      <c r="G24" s="282"/>
      <c r="H24" s="282"/>
      <c r="I24" s="282"/>
      <c r="J24" s="282"/>
    </row>
    <row r="25" spans="1:10" x14ac:dyDescent="0.2">
      <c r="A25" s="282" t="s">
        <v>3350</v>
      </c>
      <c r="B25" s="55">
        <f>+B24*B17</f>
        <v>5.016</v>
      </c>
      <c r="C25" s="282"/>
      <c r="D25" s="282"/>
      <c r="E25" s="282"/>
      <c r="F25" s="282"/>
      <c r="G25" s="282"/>
      <c r="H25" s="282"/>
      <c r="I25" s="282"/>
      <c r="J25" s="282"/>
    </row>
    <row r="26" spans="1:10" x14ac:dyDescent="0.2">
      <c r="A26" s="282"/>
      <c r="B26" s="282"/>
      <c r="C26" s="282"/>
      <c r="D26" s="282"/>
      <c r="E26" s="282"/>
      <c r="F26" s="282"/>
      <c r="G26" s="282"/>
      <c r="H26" s="282"/>
      <c r="I26" s="282"/>
      <c r="J26" s="282"/>
    </row>
  </sheetData>
  <hyperlinks>
    <hyperlink ref="G6" r:id="rId1"/>
    <hyperlink ref="H20" r:id="rId2" location="page=109"/>
    <hyperlink ref="H1" location="Index!A1" display="Return to 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H1" sqref="H1"/>
    </sheetView>
  </sheetViews>
  <sheetFormatPr defaultRowHeight="12.75" x14ac:dyDescent="0.2"/>
  <cols>
    <col min="1" max="1" width="19.42578125" customWidth="1"/>
    <col min="5" max="5" width="18.28515625" customWidth="1"/>
  </cols>
  <sheetData>
    <row r="1" spans="1:9" x14ac:dyDescent="0.2">
      <c r="A1" t="s">
        <v>162</v>
      </c>
      <c r="B1">
        <v>3</v>
      </c>
      <c r="H1" s="48" t="s">
        <v>3630</v>
      </c>
    </row>
    <row r="2" spans="1:9" x14ac:dyDescent="0.2">
      <c r="A2" t="s">
        <v>633</v>
      </c>
      <c r="B2" s="32" t="s">
        <v>3511</v>
      </c>
    </row>
    <row r="4" spans="1:9" x14ac:dyDescent="0.2">
      <c r="A4" s="32" t="s">
        <v>3512</v>
      </c>
    </row>
    <row r="6" spans="1:9" x14ac:dyDescent="0.2">
      <c r="B6" s="32" t="s">
        <v>3513</v>
      </c>
      <c r="E6" s="302">
        <v>2518992</v>
      </c>
      <c r="G6" s="48" t="s">
        <v>161</v>
      </c>
    </row>
    <row r="7" spans="1:9" x14ac:dyDescent="0.2">
      <c r="B7" s="32" t="s">
        <v>3514</v>
      </c>
      <c r="E7" s="297">
        <v>1.21E-2</v>
      </c>
      <c r="I7" s="48"/>
    </row>
    <row r="8" spans="1:9" x14ac:dyDescent="0.2">
      <c r="B8" s="32" t="s">
        <v>3515</v>
      </c>
      <c r="E8" s="148">
        <f>+E7*E6</f>
        <v>30479.803199999998</v>
      </c>
    </row>
    <row r="10" spans="1:9" x14ac:dyDescent="0.2">
      <c r="A10" s="32" t="s">
        <v>3516</v>
      </c>
    </row>
    <row r="11" spans="1:9" x14ac:dyDescent="0.2">
      <c r="E11" s="148">
        <v>1004130</v>
      </c>
      <c r="G11" s="48" t="s">
        <v>161</v>
      </c>
    </row>
  </sheetData>
  <hyperlinks>
    <hyperlink ref="G11" r:id="rId1"/>
    <hyperlink ref="G6" r:id="rId2"/>
    <hyperlink ref="H1" location="Index!A1" display="Return to Index"/>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H1" sqref="H1"/>
    </sheetView>
  </sheetViews>
  <sheetFormatPr defaultRowHeight="12.75" x14ac:dyDescent="0.2"/>
  <cols>
    <col min="1" max="1" width="13.85546875" style="139" customWidth="1"/>
    <col min="2" max="2" width="24.7109375" customWidth="1"/>
    <col min="3" max="3" width="13.7109375" customWidth="1"/>
    <col min="4" max="4" width="13" customWidth="1"/>
    <col min="5" max="5" width="12.140625" customWidth="1"/>
    <col min="6" max="6" width="13.85546875" customWidth="1"/>
    <col min="7" max="7" width="11.5703125" customWidth="1"/>
    <col min="8" max="8" width="12" customWidth="1"/>
    <col min="9" max="9" width="10.140625" bestFit="1" customWidth="1"/>
    <col min="10" max="10" width="11.85546875" customWidth="1"/>
    <col min="11" max="11" width="33.5703125" customWidth="1"/>
    <col min="14" max="14" width="34.42578125" customWidth="1"/>
  </cols>
  <sheetData>
    <row r="1" spans="1:15" x14ac:dyDescent="0.2">
      <c r="A1" s="32" t="s">
        <v>162</v>
      </c>
      <c r="B1">
        <v>3</v>
      </c>
      <c r="H1" s="48" t="s">
        <v>3630</v>
      </c>
    </row>
    <row r="2" spans="1:15" x14ac:dyDescent="0.2">
      <c r="A2" s="32" t="s">
        <v>633</v>
      </c>
      <c r="B2" s="32" t="s">
        <v>3517</v>
      </c>
    </row>
    <row r="3" spans="1:15" x14ac:dyDescent="0.2">
      <c r="A3" s="32" t="s">
        <v>138</v>
      </c>
      <c r="B3" s="32" t="s">
        <v>3547</v>
      </c>
    </row>
    <row r="4" spans="1:15" x14ac:dyDescent="0.2">
      <c r="B4" s="32"/>
    </row>
    <row r="5" spans="1:15" ht="16.5" x14ac:dyDescent="0.3">
      <c r="B5" s="768" t="s">
        <v>3466</v>
      </c>
      <c r="C5" s="768"/>
      <c r="D5" s="768"/>
      <c r="E5" s="768"/>
      <c r="F5" s="768"/>
      <c r="G5" s="768"/>
      <c r="H5" s="768"/>
      <c r="I5" s="768"/>
      <c r="J5" s="768"/>
      <c r="K5" s="768"/>
    </row>
    <row r="6" spans="1:15" ht="16.5" x14ac:dyDescent="0.3">
      <c r="B6" s="272"/>
      <c r="C6" s="272"/>
      <c r="D6" s="272"/>
      <c r="E6" s="272"/>
      <c r="F6" s="272"/>
      <c r="G6" s="272"/>
      <c r="H6" s="272"/>
      <c r="I6" s="272"/>
      <c r="J6" s="272"/>
      <c r="K6" s="272"/>
    </row>
    <row r="7" spans="1:15" ht="15.75" x14ac:dyDescent="0.25">
      <c r="B7" s="273" t="s">
        <v>3467</v>
      </c>
      <c r="C7" s="274" t="s">
        <v>37</v>
      </c>
      <c r="D7" s="274" t="s">
        <v>38</v>
      </c>
      <c r="E7" s="274" t="s">
        <v>39</v>
      </c>
      <c r="F7" s="274" t="s">
        <v>40</v>
      </c>
      <c r="G7" s="274" t="s">
        <v>41</v>
      </c>
      <c r="H7" s="274" t="s">
        <v>42</v>
      </c>
      <c r="I7" s="274" t="s">
        <v>43</v>
      </c>
      <c r="J7" s="71"/>
      <c r="K7" s="71"/>
    </row>
    <row r="8" spans="1:15" ht="15.75" x14ac:dyDescent="0.25">
      <c r="B8" s="72" t="s">
        <v>44</v>
      </c>
      <c r="C8" s="275" t="s">
        <v>45</v>
      </c>
      <c r="D8" s="276">
        <v>22000</v>
      </c>
      <c r="E8" s="276">
        <v>37000</v>
      </c>
      <c r="F8" s="276">
        <v>62000</v>
      </c>
      <c r="G8" s="276">
        <v>101000</v>
      </c>
      <c r="H8" s="276">
        <v>224000</v>
      </c>
      <c r="I8" s="276">
        <v>502000</v>
      </c>
      <c r="J8" s="71"/>
      <c r="K8" s="71"/>
    </row>
    <row r="9" spans="1:15" ht="15.75" x14ac:dyDescent="0.25">
      <c r="B9" s="72" t="s">
        <v>46</v>
      </c>
      <c r="C9" s="277">
        <v>22000</v>
      </c>
      <c r="D9" s="277">
        <v>37000</v>
      </c>
      <c r="E9" s="277">
        <v>62000</v>
      </c>
      <c r="F9" s="277">
        <v>101000</v>
      </c>
      <c r="G9" s="277">
        <v>224000</v>
      </c>
      <c r="H9" s="277">
        <v>502000</v>
      </c>
      <c r="I9" s="275" t="s">
        <v>47</v>
      </c>
      <c r="J9" s="71"/>
      <c r="K9" s="71"/>
    </row>
    <row r="10" spans="1:15" ht="16.5" thickBot="1" x14ac:dyDescent="0.3">
      <c r="B10" s="278" t="s">
        <v>48</v>
      </c>
      <c r="C10" s="277">
        <v>13000</v>
      </c>
      <c r="D10" s="277">
        <v>29000</v>
      </c>
      <c r="E10" s="277">
        <v>48000</v>
      </c>
      <c r="F10" s="277">
        <v>81000</v>
      </c>
      <c r="G10" s="277">
        <v>145000</v>
      </c>
      <c r="H10" s="277">
        <v>313000</v>
      </c>
      <c r="I10" s="277">
        <v>1275000</v>
      </c>
      <c r="J10" s="71"/>
      <c r="K10" s="71"/>
    </row>
    <row r="11" spans="1:15" ht="18" x14ac:dyDescent="0.25">
      <c r="B11" s="766" t="s">
        <v>3518</v>
      </c>
      <c r="C11" s="766"/>
      <c r="D11" s="766"/>
      <c r="E11" s="766"/>
      <c r="F11" s="766"/>
      <c r="G11" s="766"/>
      <c r="H11" s="766"/>
      <c r="I11" s="766"/>
      <c r="J11" s="71"/>
      <c r="K11" s="73" t="s">
        <v>3469</v>
      </c>
      <c r="L11" s="40"/>
      <c r="M11" s="40"/>
      <c r="N11" s="40"/>
      <c r="O11" s="40"/>
    </row>
    <row r="12" spans="1:15" ht="15.75" x14ac:dyDescent="0.25">
      <c r="B12" s="72" t="s">
        <v>50</v>
      </c>
      <c r="C12" s="74">
        <v>-2.9263498756723701E-3</v>
      </c>
      <c r="D12" s="74">
        <v>-1.9515718663989956E-3</v>
      </c>
      <c r="E12" s="82">
        <v>-4.4388747572387036E-4</v>
      </c>
      <c r="F12" s="81">
        <v>-3.9636357194289803E-5</v>
      </c>
      <c r="G12" s="81">
        <v>0</v>
      </c>
      <c r="H12" s="81">
        <v>0</v>
      </c>
      <c r="I12" s="74">
        <v>0</v>
      </c>
      <c r="J12" s="75"/>
      <c r="K12" s="76">
        <v>-45000</v>
      </c>
      <c r="L12" s="40"/>
      <c r="M12" s="40"/>
      <c r="N12" s="40"/>
      <c r="O12" s="40"/>
    </row>
    <row r="13" spans="1:15" ht="15.75" x14ac:dyDescent="0.25">
      <c r="B13" s="72" t="s">
        <v>51</v>
      </c>
      <c r="C13" s="77">
        <v>-39.345984318664541</v>
      </c>
      <c r="D13" s="77">
        <v>-56.105168631022771</v>
      </c>
      <c r="E13" s="77">
        <v>-21.451884829421704</v>
      </c>
      <c r="F13" s="77">
        <v>-3.2216541867907922</v>
      </c>
      <c r="G13" s="77">
        <v>0</v>
      </c>
      <c r="H13" s="77">
        <v>0</v>
      </c>
      <c r="I13" s="77">
        <v>0</v>
      </c>
      <c r="J13" s="71"/>
      <c r="K13" s="71"/>
      <c r="L13" s="40"/>
      <c r="M13" s="40"/>
      <c r="N13" s="40"/>
      <c r="O13" s="40"/>
    </row>
    <row r="14" spans="1:15" x14ac:dyDescent="0.2">
      <c r="B14" s="40"/>
      <c r="C14" s="40"/>
      <c r="D14" s="40"/>
      <c r="E14" s="40"/>
      <c r="F14" s="40"/>
      <c r="G14" s="40"/>
      <c r="H14" s="40"/>
      <c r="I14" s="40"/>
      <c r="J14" s="130"/>
      <c r="K14" s="40"/>
      <c r="L14" s="40"/>
      <c r="M14" s="40"/>
      <c r="N14" s="40"/>
      <c r="O14" s="40"/>
    </row>
    <row r="15" spans="1:15" ht="15.75" x14ac:dyDescent="0.25">
      <c r="B15" s="72" t="s">
        <v>721</v>
      </c>
      <c r="C15" s="78">
        <v>0.36513630711907874</v>
      </c>
      <c r="D15" s="78">
        <v>0.29214628786963126</v>
      </c>
      <c r="E15" s="78">
        <v>0.20696861104034844</v>
      </c>
      <c r="F15" s="78">
        <v>5.6748117593485956E-2</v>
      </c>
      <c r="G15" s="77">
        <v>0</v>
      </c>
      <c r="H15" s="77">
        <v>0</v>
      </c>
      <c r="I15" s="77">
        <v>0</v>
      </c>
      <c r="J15" s="71"/>
      <c r="K15" s="79" t="s">
        <v>722</v>
      </c>
      <c r="L15" s="78">
        <v>0.18743988633830122</v>
      </c>
      <c r="M15" s="40"/>
      <c r="N15" s="40"/>
      <c r="O15" s="40"/>
    </row>
    <row r="16" spans="1:15" ht="15.75" x14ac:dyDescent="0.25">
      <c r="B16" s="72" t="s">
        <v>723</v>
      </c>
      <c r="C16" s="77">
        <v>-107.75697609778632</v>
      </c>
      <c r="D16" s="77">
        <v>-192.0447767457494</v>
      </c>
      <c r="E16" s="77">
        <v>-103.64801078574986</v>
      </c>
      <c r="F16" s="77">
        <v>-56.771119878707694</v>
      </c>
      <c r="G16" s="77">
        <v>0</v>
      </c>
      <c r="H16" s="77">
        <v>0</v>
      </c>
      <c r="I16" s="77">
        <v>0</v>
      </c>
      <c r="J16" s="71"/>
      <c r="K16" s="79" t="s">
        <v>724</v>
      </c>
      <c r="L16" s="78">
        <v>0.23012256737236284</v>
      </c>
      <c r="M16" s="40"/>
      <c r="N16" s="79" t="s">
        <v>725</v>
      </c>
      <c r="O16" s="78">
        <v>0.98453620304750689</v>
      </c>
    </row>
    <row r="17" spans="2:15" ht="15.75" x14ac:dyDescent="0.25">
      <c r="B17" s="72" t="s">
        <v>726</v>
      </c>
      <c r="C17" s="78">
        <v>0.3229764014801601</v>
      </c>
      <c r="D17" s="78">
        <v>0.45799650017423088</v>
      </c>
      <c r="E17" s="78">
        <v>0.17711319507241474</v>
      </c>
      <c r="F17" s="78">
        <v>2.6450106320701189E-2</v>
      </c>
      <c r="G17" s="77">
        <v>0</v>
      </c>
      <c r="H17" s="77">
        <v>0</v>
      </c>
      <c r="I17" s="77">
        <v>0</v>
      </c>
      <c r="J17" s="71"/>
      <c r="K17" s="79" t="s">
        <v>727</v>
      </c>
      <c r="L17" s="78">
        <v>1.6716467115830642E-2</v>
      </c>
      <c r="M17" s="40"/>
      <c r="N17" s="79" t="s">
        <v>728</v>
      </c>
      <c r="O17" s="78">
        <v>0</v>
      </c>
    </row>
    <row r="18" spans="2:15" ht="23.25" x14ac:dyDescent="0.35">
      <c r="B18" s="767"/>
      <c r="C18" s="767"/>
      <c r="D18" s="767"/>
      <c r="E18" s="767"/>
      <c r="F18" s="767"/>
      <c r="G18" s="767"/>
      <c r="H18" s="767"/>
      <c r="I18" s="767"/>
      <c r="J18" s="71"/>
      <c r="K18" s="71"/>
      <c r="L18" s="71"/>
      <c r="M18" s="71"/>
      <c r="N18" s="71"/>
      <c r="O18" s="40"/>
    </row>
  </sheetData>
  <mergeCells count="3">
    <mergeCell ref="B11:I11"/>
    <mergeCell ref="B18:I18"/>
    <mergeCell ref="B5:K5"/>
  </mergeCells>
  <hyperlinks>
    <hyperlink ref="H1" location="Index!A1" display="Return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workbookViewId="0">
      <selection activeCell="H1" sqref="H1"/>
    </sheetView>
  </sheetViews>
  <sheetFormatPr defaultRowHeight="12.75" x14ac:dyDescent="0.2"/>
  <cols>
    <col min="1" max="1" width="23.28515625" customWidth="1"/>
    <col min="2" max="2" width="13" customWidth="1"/>
    <col min="3" max="3" width="12.42578125" customWidth="1"/>
    <col min="4" max="5" width="12.7109375" customWidth="1"/>
    <col min="6" max="7" width="11.42578125" customWidth="1"/>
    <col min="8" max="8" width="11.28515625" customWidth="1"/>
    <col min="9" max="9" width="13.28515625" customWidth="1"/>
  </cols>
  <sheetData>
    <row r="1" spans="1:26" s="139" customFormat="1" x14ac:dyDescent="0.2">
      <c r="A1" s="32" t="s">
        <v>162</v>
      </c>
      <c r="B1" s="139">
        <v>3</v>
      </c>
      <c r="H1" s="48" t="s">
        <v>3630</v>
      </c>
    </row>
    <row r="2" spans="1:26" s="139" customFormat="1" x14ac:dyDescent="0.2">
      <c r="A2" s="32" t="s">
        <v>633</v>
      </c>
      <c r="B2" s="32" t="s">
        <v>3519</v>
      </c>
    </row>
    <row r="3" spans="1:26" s="100" customFormat="1" x14ac:dyDescent="0.2">
      <c r="A3" s="32" t="s">
        <v>138</v>
      </c>
      <c r="B3" s="32" t="s">
        <v>3548</v>
      </c>
    </row>
    <row r="4" spans="1:26" s="100" customFormat="1" x14ac:dyDescent="0.2"/>
    <row r="5" spans="1:26" ht="21" customHeight="1" x14ac:dyDescent="0.35">
      <c r="A5" s="778" t="s">
        <v>592</v>
      </c>
      <c r="B5" s="778"/>
      <c r="C5" s="778"/>
      <c r="D5" s="778"/>
      <c r="E5" s="778"/>
      <c r="F5" s="778"/>
      <c r="G5" s="778"/>
      <c r="H5" s="778"/>
      <c r="I5" s="778"/>
      <c r="J5" s="117"/>
      <c r="K5" s="117"/>
      <c r="L5" s="117"/>
      <c r="M5" s="117"/>
      <c r="N5" s="117"/>
      <c r="O5" s="117"/>
      <c r="P5" s="117"/>
      <c r="Q5" s="117"/>
      <c r="R5" s="117"/>
      <c r="S5" s="117"/>
      <c r="T5" s="117"/>
      <c r="U5" s="117"/>
      <c r="V5" s="117"/>
      <c r="W5" s="117"/>
      <c r="X5" s="117"/>
      <c r="Y5" s="117"/>
      <c r="Z5" s="117"/>
    </row>
    <row r="6" spans="1:26" ht="17.25" customHeight="1" x14ac:dyDescent="0.3">
      <c r="A6" s="779" t="s">
        <v>571</v>
      </c>
      <c r="B6" s="779"/>
      <c r="C6" s="779"/>
      <c r="D6" s="779"/>
      <c r="E6" s="779"/>
      <c r="F6" s="779"/>
      <c r="G6" s="779"/>
      <c r="H6" s="779"/>
      <c r="I6" s="779"/>
      <c r="J6" s="117"/>
      <c r="K6" s="117"/>
      <c r="L6" s="117"/>
      <c r="M6" s="117"/>
      <c r="N6" s="117"/>
      <c r="O6" s="117"/>
      <c r="P6" s="117"/>
      <c r="Q6" s="117"/>
      <c r="R6" s="117"/>
      <c r="S6" s="117"/>
      <c r="T6" s="117"/>
      <c r="U6" s="117"/>
      <c r="V6" s="117"/>
      <c r="W6" s="117"/>
      <c r="X6" s="117"/>
      <c r="Y6" s="117"/>
      <c r="Z6" s="117"/>
    </row>
    <row r="7" spans="1:26" ht="15" x14ac:dyDescent="0.25">
      <c r="A7" s="118" t="s">
        <v>572</v>
      </c>
      <c r="B7" s="119" t="s">
        <v>37</v>
      </c>
      <c r="C7" s="119" t="s">
        <v>38</v>
      </c>
      <c r="D7" s="119" t="s">
        <v>39</v>
      </c>
      <c r="E7" s="119" t="s">
        <v>40</v>
      </c>
      <c r="F7" s="119" t="s">
        <v>41</v>
      </c>
      <c r="G7" s="119" t="s">
        <v>42</v>
      </c>
      <c r="H7" s="119" t="s">
        <v>43</v>
      </c>
      <c r="I7" s="780" t="s">
        <v>573</v>
      </c>
      <c r="J7" s="117"/>
      <c r="K7" s="117"/>
      <c r="L7" s="117"/>
      <c r="M7" s="117"/>
      <c r="N7" s="117"/>
      <c r="O7" s="117"/>
      <c r="P7" s="117"/>
      <c r="Q7" s="117"/>
      <c r="R7" s="117"/>
      <c r="S7" s="117"/>
      <c r="T7" s="117"/>
      <c r="U7" s="117"/>
      <c r="V7" s="117"/>
      <c r="W7" s="117"/>
      <c r="X7" s="117"/>
      <c r="Y7" s="117"/>
      <c r="Z7" s="117"/>
    </row>
    <row r="8" spans="1:26" ht="15" x14ac:dyDescent="0.25">
      <c r="A8" s="120" t="s">
        <v>44</v>
      </c>
      <c r="B8" s="121" t="s">
        <v>574</v>
      </c>
      <c r="C8" s="121" t="s">
        <v>575</v>
      </c>
      <c r="D8" s="121" t="s">
        <v>576</v>
      </c>
      <c r="E8" s="121" t="s">
        <v>577</v>
      </c>
      <c r="F8" s="121" t="s">
        <v>578</v>
      </c>
      <c r="G8" s="121" t="s">
        <v>579</v>
      </c>
      <c r="H8" s="121" t="s">
        <v>580</v>
      </c>
      <c r="I8" s="780"/>
      <c r="J8" s="117"/>
      <c r="K8" s="117"/>
      <c r="L8" s="117"/>
      <c r="M8" s="117"/>
      <c r="N8" s="117"/>
      <c r="O8" s="117"/>
      <c r="P8" s="117"/>
      <c r="Q8" s="117"/>
      <c r="R8" s="117"/>
      <c r="S8" s="117"/>
      <c r="T8" s="117"/>
      <c r="U8" s="117"/>
      <c r="V8" s="117"/>
      <c r="W8" s="117"/>
      <c r="X8" s="117"/>
      <c r="Y8" s="117"/>
      <c r="Z8" s="117"/>
    </row>
    <row r="9" spans="1:26" ht="15" x14ac:dyDescent="0.25">
      <c r="A9" s="120" t="s">
        <v>46</v>
      </c>
      <c r="B9" s="122">
        <v>23000</v>
      </c>
      <c r="C9" s="122">
        <v>38000</v>
      </c>
      <c r="D9" s="122">
        <v>61000</v>
      </c>
      <c r="E9" s="122">
        <v>98000</v>
      </c>
      <c r="F9" s="122">
        <v>215000</v>
      </c>
      <c r="G9" s="122">
        <v>513000</v>
      </c>
      <c r="H9" s="121" t="s">
        <v>47</v>
      </c>
      <c r="I9" s="780"/>
      <c r="J9" s="117"/>
      <c r="K9" s="117"/>
      <c r="L9" s="117"/>
      <c r="M9" s="117"/>
      <c r="N9" s="117"/>
      <c r="O9" s="117"/>
      <c r="P9" s="117"/>
      <c r="Q9" s="117"/>
      <c r="R9" s="117"/>
      <c r="S9" s="117"/>
      <c r="T9" s="117"/>
      <c r="U9" s="117"/>
      <c r="V9" s="117"/>
      <c r="W9" s="117"/>
      <c r="X9" s="117"/>
      <c r="Y9" s="117"/>
      <c r="Z9" s="117"/>
    </row>
    <row r="10" spans="1:26" ht="30" x14ac:dyDescent="0.25">
      <c r="A10" s="123" t="s">
        <v>48</v>
      </c>
      <c r="B10" s="124">
        <v>14000</v>
      </c>
      <c r="C10" s="124">
        <v>30000</v>
      </c>
      <c r="D10" s="124">
        <v>49000</v>
      </c>
      <c r="E10" s="124">
        <v>79000</v>
      </c>
      <c r="F10" s="124">
        <v>141000</v>
      </c>
      <c r="G10" s="124">
        <v>306000</v>
      </c>
      <c r="H10" s="124">
        <v>1328000</v>
      </c>
      <c r="I10" s="780"/>
      <c r="J10" s="117"/>
      <c r="K10" s="117"/>
      <c r="L10" s="117"/>
      <c r="M10" s="117"/>
      <c r="N10" s="117"/>
      <c r="O10" s="117"/>
      <c r="P10" s="117"/>
      <c r="Q10" s="117"/>
      <c r="R10" s="117"/>
      <c r="S10" s="117"/>
      <c r="T10" s="117"/>
      <c r="U10" s="117"/>
      <c r="V10" s="117"/>
      <c r="W10" s="117"/>
      <c r="X10" s="117"/>
      <c r="Y10" s="117"/>
      <c r="Z10" s="117"/>
    </row>
    <row r="11" spans="1:26" ht="15" x14ac:dyDescent="0.25">
      <c r="A11" s="125"/>
      <c r="B11" s="125"/>
      <c r="C11" s="125"/>
      <c r="D11" s="125"/>
      <c r="E11" s="125"/>
      <c r="F11" s="125"/>
      <c r="G11" s="125"/>
      <c r="H11" s="125"/>
      <c r="I11" s="125"/>
      <c r="J11" s="117"/>
      <c r="K11" s="117"/>
      <c r="L11" s="117"/>
      <c r="M11" s="117"/>
      <c r="N11" s="117"/>
      <c r="O11" s="117"/>
      <c r="P11" s="117"/>
      <c r="Q11" s="117"/>
      <c r="R11" s="117"/>
      <c r="S11" s="117"/>
      <c r="T11" s="117"/>
      <c r="U11" s="117"/>
      <c r="V11" s="117"/>
      <c r="W11" s="117"/>
      <c r="X11" s="117"/>
      <c r="Y11" s="117"/>
      <c r="Z11" s="117"/>
    </row>
    <row r="12" spans="1:26" ht="18.399999999999999" customHeight="1" x14ac:dyDescent="0.25">
      <c r="A12" s="777" t="s">
        <v>593</v>
      </c>
      <c r="B12" s="777"/>
      <c r="C12" s="777"/>
      <c r="D12" s="777"/>
      <c r="E12" s="777"/>
      <c r="F12" s="777"/>
      <c r="G12" s="777"/>
      <c r="H12" s="777"/>
      <c r="I12" s="777"/>
      <c r="J12" s="117"/>
      <c r="K12" s="117"/>
      <c r="L12" s="117"/>
      <c r="M12" s="117"/>
      <c r="N12" s="117"/>
      <c r="O12" s="117"/>
      <c r="P12" s="117"/>
      <c r="Q12" s="117"/>
      <c r="R12" s="117"/>
      <c r="S12" s="117"/>
      <c r="T12" s="117"/>
      <c r="U12" s="117"/>
      <c r="V12" s="117"/>
      <c r="W12" s="117"/>
      <c r="X12" s="117"/>
      <c r="Y12" s="117"/>
      <c r="Z12" s="117"/>
    </row>
    <row r="13" spans="1:26" ht="30" x14ac:dyDescent="0.25">
      <c r="A13" s="120" t="s">
        <v>581</v>
      </c>
      <c r="B13" s="121" t="s">
        <v>591</v>
      </c>
      <c r="C13" s="121" t="s">
        <v>583</v>
      </c>
      <c r="D13" s="121" t="s">
        <v>582</v>
      </c>
      <c r="E13" s="121" t="s">
        <v>584</v>
      </c>
      <c r="F13" s="121" t="s">
        <v>584</v>
      </c>
      <c r="G13" s="121" t="s">
        <v>584</v>
      </c>
      <c r="H13" s="121" t="s">
        <v>584</v>
      </c>
      <c r="I13" s="781" t="s">
        <v>598</v>
      </c>
      <c r="J13" s="117"/>
      <c r="K13" s="117"/>
      <c r="L13" s="117"/>
      <c r="M13" s="117"/>
      <c r="N13" s="117"/>
      <c r="O13" s="117"/>
      <c r="P13" s="117"/>
      <c r="Q13" s="117"/>
      <c r="R13" s="117"/>
      <c r="S13" s="117"/>
      <c r="T13" s="117"/>
      <c r="U13" s="117"/>
      <c r="V13" s="117"/>
      <c r="W13" s="117"/>
      <c r="X13" s="117"/>
      <c r="Y13" s="117"/>
      <c r="Z13" s="117"/>
    </row>
    <row r="14" spans="1:26" ht="15" x14ac:dyDescent="0.25">
      <c r="A14" s="120" t="s">
        <v>51</v>
      </c>
      <c r="B14" s="121" t="s">
        <v>599</v>
      </c>
      <c r="C14" s="121" t="s">
        <v>600</v>
      </c>
      <c r="D14" s="121" t="s">
        <v>601</v>
      </c>
      <c r="E14" s="121" t="s">
        <v>584</v>
      </c>
      <c r="F14" s="121" t="s">
        <v>584</v>
      </c>
      <c r="G14" s="121" t="s">
        <v>584</v>
      </c>
      <c r="H14" s="121" t="s">
        <v>584</v>
      </c>
      <c r="I14" s="781"/>
      <c r="J14" s="117"/>
      <c r="K14" s="117"/>
      <c r="L14" s="117"/>
      <c r="M14" s="117"/>
      <c r="N14" s="117"/>
      <c r="O14" s="117"/>
      <c r="P14" s="117"/>
      <c r="Q14" s="117"/>
      <c r="R14" s="117"/>
      <c r="S14" s="117"/>
      <c r="T14" s="117"/>
      <c r="U14" s="117"/>
      <c r="V14" s="117"/>
      <c r="W14" s="117"/>
      <c r="X14" s="117"/>
      <c r="Y14" s="117"/>
      <c r="Z14" s="117"/>
    </row>
    <row r="15" spans="1:26" ht="15" x14ac:dyDescent="0.25">
      <c r="A15" s="117"/>
      <c r="B15" s="117"/>
      <c r="C15" s="117"/>
      <c r="D15" s="117"/>
      <c r="E15" s="117"/>
      <c r="F15" s="117"/>
      <c r="G15" s="117"/>
      <c r="H15" s="117"/>
      <c r="I15" s="781"/>
      <c r="J15" s="117"/>
      <c r="K15" s="117"/>
      <c r="L15" s="117"/>
      <c r="M15" s="117"/>
      <c r="N15" s="117"/>
      <c r="O15" s="117"/>
      <c r="P15" s="117"/>
      <c r="Q15" s="117"/>
      <c r="R15" s="117"/>
      <c r="S15" s="117"/>
      <c r="T15" s="117"/>
      <c r="U15" s="117"/>
      <c r="V15" s="117"/>
      <c r="W15" s="117"/>
      <c r="X15" s="117"/>
      <c r="Y15" s="117"/>
      <c r="Z15" s="117"/>
    </row>
    <row r="16" spans="1:26" ht="30" x14ac:dyDescent="0.25">
      <c r="A16" s="120" t="s">
        <v>586</v>
      </c>
      <c r="B16" s="126">
        <v>0.63</v>
      </c>
      <c r="C16" s="126">
        <v>0.33</v>
      </c>
      <c r="D16" s="126">
        <v>0.2</v>
      </c>
      <c r="E16" s="121" t="s">
        <v>584</v>
      </c>
      <c r="F16" s="121" t="s">
        <v>584</v>
      </c>
      <c r="G16" s="121" t="s">
        <v>584</v>
      </c>
      <c r="H16" s="121" t="s">
        <v>584</v>
      </c>
      <c r="I16" s="781"/>
      <c r="J16" s="117"/>
      <c r="K16" s="117"/>
      <c r="L16" s="117"/>
      <c r="M16" s="117"/>
      <c r="N16" s="117"/>
      <c r="O16" s="117"/>
      <c r="P16" s="117"/>
      <c r="Q16" s="117"/>
      <c r="R16" s="117"/>
      <c r="S16" s="117"/>
      <c r="T16" s="117"/>
      <c r="U16" s="117"/>
      <c r="V16" s="117"/>
      <c r="W16" s="117"/>
      <c r="X16" s="117"/>
      <c r="Y16" s="117"/>
      <c r="Z16" s="117"/>
    </row>
    <row r="17" spans="1:26" ht="30" x14ac:dyDescent="0.25">
      <c r="A17" s="120" t="s">
        <v>587</v>
      </c>
      <c r="B17" s="121">
        <v>77</v>
      </c>
      <c r="C17" s="121">
        <v>87</v>
      </c>
      <c r="D17" s="121">
        <v>104</v>
      </c>
      <c r="E17" s="121" t="s">
        <v>584</v>
      </c>
      <c r="F17" s="121" t="s">
        <v>584</v>
      </c>
      <c r="G17" s="121" t="s">
        <v>584</v>
      </c>
      <c r="H17" s="121" t="s">
        <v>584</v>
      </c>
      <c r="I17" s="781"/>
      <c r="J17" s="117"/>
      <c r="K17" s="117"/>
      <c r="L17" s="117"/>
      <c r="M17" s="117"/>
      <c r="N17" s="117"/>
      <c r="O17" s="117"/>
      <c r="P17" s="117"/>
      <c r="Q17" s="117"/>
      <c r="R17" s="117"/>
      <c r="S17" s="117"/>
      <c r="T17" s="117"/>
      <c r="U17" s="117"/>
      <c r="V17" s="117"/>
      <c r="W17" s="117"/>
      <c r="X17" s="117"/>
      <c r="Y17" s="117"/>
      <c r="Z17" s="117"/>
    </row>
    <row r="18" spans="1:26" ht="15" x14ac:dyDescent="0.25">
      <c r="A18" s="120" t="s">
        <v>588</v>
      </c>
      <c r="B18" s="126">
        <v>0.45</v>
      </c>
      <c r="C18" s="126">
        <v>0.27</v>
      </c>
      <c r="D18" s="126">
        <v>0.2</v>
      </c>
      <c r="E18" s="121" t="s">
        <v>584</v>
      </c>
      <c r="F18" s="121" t="s">
        <v>584</v>
      </c>
      <c r="G18" s="121" t="s">
        <v>584</v>
      </c>
      <c r="H18" s="121" t="s">
        <v>584</v>
      </c>
      <c r="I18" s="781"/>
      <c r="J18" s="117"/>
      <c r="K18" s="117"/>
      <c r="L18" s="117"/>
      <c r="M18" s="117"/>
      <c r="N18" s="117"/>
      <c r="O18" s="117"/>
      <c r="P18" s="117"/>
      <c r="Q18" s="117"/>
      <c r="R18" s="117"/>
      <c r="S18" s="117"/>
      <c r="T18" s="117"/>
      <c r="U18" s="117"/>
      <c r="V18" s="117"/>
      <c r="W18" s="117"/>
      <c r="X18" s="117"/>
      <c r="Y18" s="117"/>
      <c r="Z18" s="117"/>
    </row>
    <row r="19" spans="1:26" ht="15" x14ac:dyDescent="0.25">
      <c r="A19" s="117"/>
      <c r="B19" s="117"/>
      <c r="C19" s="117"/>
      <c r="D19" s="117"/>
      <c r="E19" s="117"/>
      <c r="F19" s="117"/>
      <c r="G19" s="117"/>
      <c r="H19" s="117"/>
      <c r="I19" s="125"/>
      <c r="J19" s="117"/>
      <c r="K19" s="117"/>
      <c r="L19" s="117"/>
      <c r="M19" s="117"/>
      <c r="N19" s="117"/>
      <c r="O19" s="117"/>
      <c r="P19" s="117"/>
      <c r="Q19" s="117"/>
      <c r="R19" s="117"/>
      <c r="S19" s="117"/>
      <c r="T19" s="117"/>
      <c r="U19" s="117"/>
      <c r="V19" s="117"/>
      <c r="W19" s="117"/>
      <c r="X19" s="117"/>
      <c r="Y19" s="117"/>
      <c r="Z19" s="117"/>
    </row>
    <row r="20" spans="1:26" ht="15" x14ac:dyDescent="0.25">
      <c r="A20" s="127" t="s">
        <v>589</v>
      </c>
      <c r="B20" s="117"/>
      <c r="C20" s="117"/>
      <c r="D20" s="117"/>
      <c r="E20" s="117"/>
      <c r="F20" s="117"/>
      <c r="G20" s="117"/>
      <c r="H20" s="117"/>
      <c r="I20" s="125"/>
      <c r="J20" s="117"/>
      <c r="K20" s="117"/>
      <c r="L20" s="117"/>
      <c r="M20" s="117"/>
      <c r="N20" s="117"/>
      <c r="O20" s="117"/>
      <c r="P20" s="117"/>
      <c r="Q20" s="117"/>
      <c r="R20" s="117"/>
      <c r="S20" s="117"/>
      <c r="T20" s="117"/>
      <c r="U20" s="117"/>
      <c r="V20" s="117"/>
      <c r="W20" s="117"/>
      <c r="X20" s="117"/>
      <c r="Y20" s="117"/>
      <c r="Z20" s="117"/>
    </row>
    <row r="21" spans="1:26" ht="15" x14ac:dyDescent="0.25">
      <c r="A21" s="120" t="s">
        <v>590</v>
      </c>
      <c r="B21" s="126">
        <v>0.25</v>
      </c>
      <c r="C21" s="117"/>
      <c r="D21" s="117"/>
      <c r="E21" s="117"/>
      <c r="F21" s="117"/>
      <c r="G21" s="117"/>
      <c r="H21" s="117"/>
      <c r="I21" s="125"/>
      <c r="J21" s="117"/>
      <c r="K21" s="117"/>
      <c r="L21" s="117"/>
      <c r="M21" s="117"/>
      <c r="N21" s="117"/>
      <c r="O21" s="117"/>
      <c r="P21" s="117"/>
      <c r="Q21" s="117"/>
      <c r="R21" s="117"/>
      <c r="S21" s="117"/>
      <c r="T21" s="117"/>
      <c r="U21" s="117"/>
      <c r="V21" s="117"/>
      <c r="W21" s="117"/>
      <c r="X21" s="117"/>
      <c r="Y21" s="117"/>
      <c r="Z21" s="117"/>
    </row>
    <row r="22" spans="1:26" ht="15" x14ac:dyDescent="0.2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row>
    <row r="23" spans="1:26" ht="18.399999999999999" customHeight="1" x14ac:dyDescent="0.25">
      <c r="A23" s="777" t="s">
        <v>594</v>
      </c>
      <c r="B23" s="777"/>
      <c r="C23" s="777"/>
      <c r="D23" s="777"/>
      <c r="E23" s="777"/>
      <c r="F23" s="777"/>
      <c r="G23" s="777"/>
      <c r="H23" s="777"/>
      <c r="I23" s="777"/>
      <c r="J23" s="117"/>
      <c r="K23" s="117"/>
      <c r="L23" s="117"/>
      <c r="M23" s="117"/>
      <c r="N23" s="117"/>
      <c r="O23" s="117"/>
      <c r="P23" s="117"/>
      <c r="Q23" s="117"/>
      <c r="R23" s="117"/>
      <c r="S23" s="117"/>
      <c r="T23" s="117"/>
      <c r="U23" s="117"/>
      <c r="V23" s="117"/>
      <c r="W23" s="117"/>
      <c r="X23" s="117"/>
      <c r="Y23" s="117"/>
      <c r="Z23" s="117"/>
    </row>
    <row r="24" spans="1:26" ht="30" x14ac:dyDescent="0.25">
      <c r="A24" s="120" t="s">
        <v>581</v>
      </c>
      <c r="B24" s="121" t="s">
        <v>602</v>
      </c>
      <c r="C24" s="121" t="s">
        <v>603</v>
      </c>
      <c r="D24" s="121" t="s">
        <v>583</v>
      </c>
      <c r="E24" s="121" t="s">
        <v>584</v>
      </c>
      <c r="F24" s="121" t="s">
        <v>584</v>
      </c>
      <c r="G24" s="121" t="s">
        <v>584</v>
      </c>
      <c r="H24" s="121" t="s">
        <v>584</v>
      </c>
      <c r="I24" s="781" t="s">
        <v>604</v>
      </c>
      <c r="J24" s="117"/>
      <c r="K24" s="117"/>
      <c r="L24" s="117"/>
      <c r="M24" s="117"/>
      <c r="N24" s="117"/>
      <c r="O24" s="117"/>
      <c r="P24" s="117"/>
      <c r="Q24" s="117"/>
      <c r="R24" s="117"/>
      <c r="S24" s="117"/>
      <c r="T24" s="117"/>
      <c r="U24" s="117"/>
      <c r="V24" s="117"/>
      <c r="W24" s="117"/>
      <c r="X24" s="117"/>
      <c r="Y24" s="117"/>
      <c r="Z24" s="117"/>
    </row>
    <row r="25" spans="1:26" ht="15" x14ac:dyDescent="0.25">
      <c r="A25" s="120" t="s">
        <v>51</v>
      </c>
      <c r="B25" s="121" t="s">
        <v>605</v>
      </c>
      <c r="C25" s="121" t="s">
        <v>606</v>
      </c>
      <c r="D25" s="121" t="s">
        <v>607</v>
      </c>
      <c r="E25" s="121" t="s">
        <v>584</v>
      </c>
      <c r="F25" s="121" t="s">
        <v>584</v>
      </c>
      <c r="G25" s="121" t="s">
        <v>584</v>
      </c>
      <c r="H25" s="121" t="s">
        <v>584</v>
      </c>
      <c r="I25" s="781"/>
      <c r="J25" s="117"/>
      <c r="K25" s="117"/>
      <c r="L25" s="117"/>
      <c r="M25" s="117"/>
      <c r="N25" s="117"/>
      <c r="O25" s="117"/>
      <c r="P25" s="117"/>
      <c r="Q25" s="117"/>
      <c r="R25" s="117"/>
      <c r="S25" s="117"/>
      <c r="T25" s="117"/>
      <c r="U25" s="117"/>
      <c r="V25" s="117"/>
      <c r="W25" s="117"/>
      <c r="X25" s="117"/>
      <c r="Y25" s="117"/>
      <c r="Z25" s="117"/>
    </row>
    <row r="26" spans="1:26" ht="15" x14ac:dyDescent="0.25">
      <c r="A26" s="117"/>
      <c r="B26" s="117"/>
      <c r="C26" s="117"/>
      <c r="D26" s="117"/>
      <c r="E26" s="117"/>
      <c r="F26" s="117"/>
      <c r="G26" s="117"/>
      <c r="H26" s="117"/>
      <c r="I26" s="781"/>
      <c r="J26" s="117"/>
      <c r="K26" s="117"/>
      <c r="L26" s="117"/>
      <c r="M26" s="117"/>
      <c r="N26" s="117"/>
      <c r="O26" s="117"/>
      <c r="P26" s="117"/>
      <c r="Q26" s="117"/>
      <c r="R26" s="117"/>
      <c r="S26" s="117"/>
      <c r="T26" s="117"/>
      <c r="U26" s="117"/>
      <c r="V26" s="117"/>
      <c r="W26" s="117"/>
      <c r="X26" s="117"/>
      <c r="Y26" s="117"/>
      <c r="Z26" s="117"/>
    </row>
    <row r="27" spans="1:26" ht="30" x14ac:dyDescent="0.25">
      <c r="A27" s="120" t="s">
        <v>586</v>
      </c>
      <c r="B27" s="126">
        <v>0.63</v>
      </c>
      <c r="C27" s="126">
        <v>0.33</v>
      </c>
      <c r="D27" s="126">
        <v>0.2</v>
      </c>
      <c r="E27" s="121" t="s">
        <v>584</v>
      </c>
      <c r="F27" s="121" t="s">
        <v>584</v>
      </c>
      <c r="G27" s="121" t="s">
        <v>584</v>
      </c>
      <c r="H27" s="121" t="s">
        <v>584</v>
      </c>
      <c r="I27" s="781"/>
      <c r="J27" s="117"/>
      <c r="K27" s="117"/>
      <c r="L27" s="117"/>
      <c r="M27" s="117"/>
      <c r="N27" s="117"/>
      <c r="O27" s="117"/>
      <c r="P27" s="117"/>
      <c r="Q27" s="117"/>
      <c r="R27" s="117"/>
      <c r="S27" s="117"/>
      <c r="T27" s="117"/>
      <c r="U27" s="117"/>
      <c r="V27" s="117"/>
      <c r="W27" s="117"/>
      <c r="X27" s="117"/>
      <c r="Y27" s="117"/>
      <c r="Z27" s="117"/>
    </row>
    <row r="28" spans="1:26" ht="30" x14ac:dyDescent="0.25">
      <c r="A28" s="120" t="s">
        <v>587</v>
      </c>
      <c r="B28" s="121">
        <v>155</v>
      </c>
      <c r="C28" s="121">
        <v>174</v>
      </c>
      <c r="D28" s="121">
        <v>208</v>
      </c>
      <c r="E28" s="121" t="s">
        <v>584</v>
      </c>
      <c r="F28" s="121" t="s">
        <v>584</v>
      </c>
      <c r="G28" s="121" t="s">
        <v>584</v>
      </c>
      <c r="H28" s="121" t="s">
        <v>584</v>
      </c>
      <c r="I28" s="781"/>
      <c r="J28" s="117"/>
      <c r="K28" s="117"/>
      <c r="L28" s="117"/>
      <c r="M28" s="117"/>
      <c r="N28" s="117"/>
      <c r="O28" s="117"/>
      <c r="P28" s="117"/>
      <c r="Q28" s="117"/>
      <c r="R28" s="117"/>
      <c r="S28" s="117"/>
      <c r="T28" s="117"/>
      <c r="U28" s="117"/>
      <c r="V28" s="117"/>
      <c r="W28" s="117"/>
      <c r="X28" s="117"/>
      <c r="Y28" s="117"/>
      <c r="Z28" s="117"/>
    </row>
    <row r="29" spans="1:26" ht="15" x14ac:dyDescent="0.25">
      <c r="A29" s="120" t="s">
        <v>588</v>
      </c>
      <c r="B29" s="126">
        <v>0.45</v>
      </c>
      <c r="C29" s="126">
        <v>0.27</v>
      </c>
      <c r="D29" s="126">
        <v>0.2</v>
      </c>
      <c r="E29" s="121" t="s">
        <v>584</v>
      </c>
      <c r="F29" s="121" t="s">
        <v>584</v>
      </c>
      <c r="G29" s="121" t="s">
        <v>584</v>
      </c>
      <c r="H29" s="121" t="s">
        <v>584</v>
      </c>
      <c r="I29" s="781"/>
      <c r="J29" s="117"/>
      <c r="K29" s="117"/>
      <c r="L29" s="117"/>
      <c r="M29" s="117"/>
      <c r="N29" s="117"/>
      <c r="O29" s="117"/>
      <c r="P29" s="117"/>
      <c r="Q29" s="117"/>
      <c r="R29" s="117"/>
      <c r="S29" s="117"/>
      <c r="T29" s="117"/>
      <c r="U29" s="117"/>
      <c r="V29" s="117"/>
      <c r="W29" s="117"/>
      <c r="X29" s="117"/>
      <c r="Y29" s="117"/>
      <c r="Z29" s="117"/>
    </row>
    <row r="30" spans="1:26" ht="15" x14ac:dyDescent="0.25">
      <c r="A30" s="117"/>
      <c r="B30" s="117"/>
      <c r="C30" s="117"/>
      <c r="D30" s="117"/>
      <c r="E30" s="117"/>
      <c r="F30" s="117"/>
      <c r="G30" s="117"/>
      <c r="H30" s="117"/>
      <c r="I30" s="125"/>
      <c r="J30" s="117"/>
      <c r="K30" s="117"/>
      <c r="L30" s="117"/>
      <c r="M30" s="117"/>
      <c r="N30" s="117"/>
      <c r="O30" s="117"/>
      <c r="P30" s="117"/>
      <c r="Q30" s="117"/>
      <c r="R30" s="117"/>
      <c r="S30" s="117"/>
      <c r="T30" s="117"/>
      <c r="U30" s="117"/>
      <c r="V30" s="117"/>
      <c r="W30" s="117"/>
      <c r="X30" s="117"/>
      <c r="Y30" s="117"/>
      <c r="Z30" s="117"/>
    </row>
    <row r="31" spans="1:26" ht="15" x14ac:dyDescent="0.25">
      <c r="A31" s="127" t="s">
        <v>589</v>
      </c>
      <c r="B31" s="117"/>
      <c r="C31" s="117"/>
      <c r="D31" s="117"/>
      <c r="E31" s="117"/>
      <c r="F31" s="117"/>
      <c r="G31" s="117"/>
      <c r="H31" s="117"/>
      <c r="I31" s="125"/>
      <c r="J31" s="117"/>
      <c r="K31" s="117"/>
      <c r="L31" s="117"/>
      <c r="M31" s="117"/>
      <c r="N31" s="117"/>
      <c r="O31" s="117"/>
      <c r="P31" s="117"/>
      <c r="Q31" s="117"/>
      <c r="R31" s="117"/>
      <c r="S31" s="117"/>
      <c r="T31" s="117"/>
      <c r="U31" s="117"/>
      <c r="V31" s="117"/>
      <c r="W31" s="117"/>
      <c r="X31" s="117"/>
      <c r="Y31" s="117"/>
      <c r="Z31" s="117"/>
    </row>
    <row r="32" spans="1:26" ht="15" x14ac:dyDescent="0.25">
      <c r="A32" s="120" t="s">
        <v>590</v>
      </c>
      <c r="B32" s="126">
        <v>0.25</v>
      </c>
      <c r="C32" s="117"/>
      <c r="D32" s="117"/>
      <c r="E32" s="117"/>
      <c r="F32" s="117"/>
      <c r="G32" s="117"/>
      <c r="H32" s="117"/>
      <c r="I32" s="125"/>
      <c r="J32" s="117"/>
      <c r="K32" s="117"/>
      <c r="L32" s="117"/>
      <c r="M32" s="117"/>
      <c r="N32" s="117"/>
      <c r="O32" s="117"/>
      <c r="P32" s="117"/>
      <c r="Q32" s="117"/>
      <c r="R32" s="117"/>
      <c r="S32" s="117"/>
      <c r="T32" s="117"/>
      <c r="U32" s="117"/>
      <c r="V32" s="117"/>
      <c r="W32" s="117"/>
      <c r="X32" s="117"/>
      <c r="Y32" s="117"/>
      <c r="Z32" s="117"/>
    </row>
    <row r="33" spans="1:26" ht="15" x14ac:dyDescent="0.25">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ht="61.15" customHeight="1" x14ac:dyDescent="0.25">
      <c r="A34" s="777" t="s">
        <v>595</v>
      </c>
      <c r="B34" s="777"/>
      <c r="C34" s="777"/>
      <c r="D34" s="777"/>
      <c r="E34" s="777"/>
      <c r="F34" s="777"/>
      <c r="G34" s="777"/>
      <c r="H34" s="777"/>
      <c r="I34" s="777"/>
      <c r="J34" s="117"/>
      <c r="K34" s="117"/>
      <c r="L34" s="117"/>
      <c r="M34" s="117"/>
      <c r="N34" s="117"/>
      <c r="O34" s="117"/>
      <c r="P34" s="117"/>
      <c r="Q34" s="117"/>
      <c r="R34" s="117"/>
      <c r="S34" s="117"/>
      <c r="T34" s="117"/>
      <c r="U34" s="117"/>
      <c r="V34" s="117"/>
      <c r="W34" s="117"/>
      <c r="X34" s="117"/>
      <c r="Y34" s="117"/>
      <c r="Z34" s="117"/>
    </row>
    <row r="35" spans="1:26" ht="30" x14ac:dyDescent="0.25">
      <c r="A35" s="120" t="s">
        <v>581</v>
      </c>
      <c r="B35" s="121" t="s">
        <v>582</v>
      </c>
      <c r="C35" s="121" t="s">
        <v>583</v>
      </c>
      <c r="D35" s="121" t="s">
        <v>582</v>
      </c>
      <c r="E35" s="121" t="s">
        <v>582</v>
      </c>
      <c r="F35" s="121" t="s">
        <v>584</v>
      </c>
      <c r="G35" s="121" t="s">
        <v>584</v>
      </c>
      <c r="H35" s="121" t="s">
        <v>584</v>
      </c>
      <c r="I35" s="781" t="s">
        <v>608</v>
      </c>
      <c r="J35" s="117"/>
      <c r="K35" s="117"/>
      <c r="L35" s="117"/>
      <c r="M35" s="117"/>
      <c r="N35" s="117"/>
      <c r="O35" s="117"/>
      <c r="P35" s="117"/>
      <c r="Q35" s="117"/>
      <c r="R35" s="117"/>
      <c r="S35" s="117"/>
      <c r="T35" s="117"/>
      <c r="U35" s="117"/>
      <c r="V35" s="117"/>
      <c r="W35" s="117"/>
      <c r="X35" s="117"/>
      <c r="Y35" s="117"/>
      <c r="Z35" s="117"/>
    </row>
    <row r="36" spans="1:26" ht="15" x14ac:dyDescent="0.25">
      <c r="A36" s="120" t="s">
        <v>51</v>
      </c>
      <c r="B36" s="121" t="s">
        <v>609</v>
      </c>
      <c r="C36" s="121" t="s">
        <v>610</v>
      </c>
      <c r="D36" s="121" t="s">
        <v>611</v>
      </c>
      <c r="E36" s="121" t="s">
        <v>585</v>
      </c>
      <c r="F36" s="121" t="s">
        <v>584</v>
      </c>
      <c r="G36" s="121" t="s">
        <v>584</v>
      </c>
      <c r="H36" s="121" t="s">
        <v>584</v>
      </c>
      <c r="I36" s="781"/>
      <c r="J36" s="117"/>
      <c r="K36" s="117"/>
      <c r="L36" s="117"/>
      <c r="M36" s="117"/>
      <c r="N36" s="117"/>
      <c r="O36" s="117"/>
      <c r="P36" s="117"/>
      <c r="Q36" s="117"/>
      <c r="R36" s="117"/>
      <c r="S36" s="117"/>
      <c r="T36" s="117"/>
      <c r="U36" s="117"/>
      <c r="V36" s="117"/>
      <c r="W36" s="117"/>
      <c r="X36" s="117"/>
      <c r="Y36" s="117"/>
      <c r="Z36" s="117"/>
    </row>
    <row r="37" spans="1:26" ht="15" x14ac:dyDescent="0.25">
      <c r="A37" s="117"/>
      <c r="B37" s="117"/>
      <c r="C37" s="117"/>
      <c r="D37" s="117"/>
      <c r="E37" s="117"/>
      <c r="F37" s="117"/>
      <c r="G37" s="117"/>
      <c r="H37" s="117"/>
      <c r="I37" s="781"/>
      <c r="J37" s="117"/>
      <c r="K37" s="117"/>
      <c r="L37" s="117"/>
      <c r="M37" s="117"/>
      <c r="N37" s="117"/>
      <c r="O37" s="117"/>
      <c r="P37" s="117"/>
      <c r="Q37" s="117"/>
      <c r="R37" s="117"/>
      <c r="S37" s="117"/>
      <c r="T37" s="117"/>
      <c r="U37" s="117"/>
      <c r="V37" s="117"/>
      <c r="W37" s="117"/>
      <c r="X37" s="117"/>
      <c r="Y37" s="117"/>
      <c r="Z37" s="117"/>
    </row>
    <row r="38" spans="1:26" ht="30" x14ac:dyDescent="0.25">
      <c r="A38" s="120" t="s">
        <v>586</v>
      </c>
      <c r="B38" s="126">
        <v>0.12</v>
      </c>
      <c r="C38" s="126">
        <v>0.51</v>
      </c>
      <c r="D38" s="126">
        <v>0.26</v>
      </c>
      <c r="E38" s="126">
        <v>7.0000000000000007E-2</v>
      </c>
      <c r="F38" s="121" t="s">
        <v>584</v>
      </c>
      <c r="G38" s="121" t="s">
        <v>584</v>
      </c>
      <c r="H38" s="121" t="s">
        <v>584</v>
      </c>
      <c r="I38" s="781"/>
      <c r="J38" s="117"/>
      <c r="K38" s="117"/>
      <c r="L38" s="117"/>
      <c r="M38" s="117"/>
      <c r="N38" s="117"/>
      <c r="O38" s="117"/>
      <c r="P38" s="117"/>
      <c r="Q38" s="117"/>
      <c r="R38" s="117"/>
      <c r="S38" s="117"/>
      <c r="T38" s="117"/>
      <c r="U38" s="117"/>
      <c r="V38" s="117"/>
      <c r="W38" s="117"/>
      <c r="X38" s="117"/>
      <c r="Y38" s="117"/>
      <c r="Z38" s="117"/>
    </row>
    <row r="39" spans="1:26" ht="30" x14ac:dyDescent="0.25">
      <c r="A39" s="120" t="s">
        <v>587</v>
      </c>
      <c r="B39" s="121">
        <v>49</v>
      </c>
      <c r="C39" s="121">
        <v>33</v>
      </c>
      <c r="D39" s="121">
        <v>64</v>
      </c>
      <c r="E39" s="121">
        <v>25</v>
      </c>
      <c r="F39" s="121" t="s">
        <v>584</v>
      </c>
      <c r="G39" s="121" t="s">
        <v>584</v>
      </c>
      <c r="H39" s="121" t="s">
        <v>584</v>
      </c>
      <c r="I39" s="781"/>
      <c r="J39" s="117"/>
      <c r="K39" s="117"/>
      <c r="L39" s="117"/>
      <c r="M39" s="117"/>
      <c r="N39" s="117"/>
      <c r="O39" s="117"/>
      <c r="P39" s="117"/>
      <c r="Q39" s="117"/>
      <c r="R39" s="117"/>
      <c r="S39" s="117"/>
      <c r="T39" s="117"/>
      <c r="U39" s="117"/>
      <c r="V39" s="117"/>
      <c r="W39" s="117"/>
      <c r="X39" s="117"/>
      <c r="Y39" s="117"/>
      <c r="Z39" s="117"/>
    </row>
    <row r="40" spans="1:26" ht="15" x14ac:dyDescent="0.25">
      <c r="A40" s="120" t="s">
        <v>588</v>
      </c>
      <c r="B40" s="126">
        <v>0.15</v>
      </c>
      <c r="C40" s="126">
        <v>0.41</v>
      </c>
      <c r="D40" s="126">
        <v>0.39</v>
      </c>
      <c r="E40" s="126">
        <v>0.04</v>
      </c>
      <c r="F40" s="121" t="s">
        <v>584</v>
      </c>
      <c r="G40" s="121" t="s">
        <v>584</v>
      </c>
      <c r="H40" s="121" t="s">
        <v>584</v>
      </c>
      <c r="I40" s="781"/>
      <c r="J40" s="117"/>
      <c r="K40" s="117"/>
      <c r="L40" s="117"/>
      <c r="M40" s="117"/>
      <c r="N40" s="117"/>
      <c r="O40" s="117"/>
      <c r="P40" s="117"/>
      <c r="Q40" s="117"/>
      <c r="R40" s="117"/>
      <c r="S40" s="117"/>
      <c r="T40" s="117"/>
      <c r="U40" s="117"/>
      <c r="V40" s="117"/>
      <c r="W40" s="117"/>
      <c r="X40" s="117"/>
      <c r="Y40" s="117"/>
      <c r="Z40" s="117"/>
    </row>
    <row r="41" spans="1:26" ht="15" x14ac:dyDescent="0.25">
      <c r="A41" s="117"/>
      <c r="B41" s="117"/>
      <c r="C41" s="117"/>
      <c r="D41" s="117"/>
      <c r="E41" s="117"/>
      <c r="F41" s="117"/>
      <c r="G41" s="117"/>
      <c r="H41" s="117"/>
      <c r="I41" s="125"/>
      <c r="J41" s="117"/>
      <c r="K41" s="117"/>
      <c r="L41" s="117"/>
      <c r="M41" s="117"/>
      <c r="N41" s="117"/>
      <c r="O41" s="117"/>
      <c r="P41" s="117"/>
      <c r="Q41" s="117"/>
      <c r="R41" s="117"/>
      <c r="S41" s="117"/>
      <c r="T41" s="117"/>
      <c r="U41" s="117"/>
      <c r="V41" s="117"/>
      <c r="W41" s="117"/>
      <c r="X41" s="117"/>
      <c r="Y41" s="117"/>
      <c r="Z41" s="117"/>
    </row>
    <row r="42" spans="1:26" ht="15" x14ac:dyDescent="0.25">
      <c r="A42" s="127" t="s">
        <v>589</v>
      </c>
      <c r="B42" s="117"/>
      <c r="C42" s="117"/>
      <c r="D42" s="117"/>
      <c r="E42" s="117"/>
      <c r="F42" s="117"/>
      <c r="G42" s="117"/>
      <c r="H42" s="117"/>
      <c r="I42" s="125"/>
      <c r="J42" s="117"/>
      <c r="K42" s="117"/>
      <c r="L42" s="117"/>
      <c r="M42" s="117"/>
      <c r="N42" s="117"/>
      <c r="O42" s="117"/>
      <c r="P42" s="117"/>
      <c r="Q42" s="117"/>
      <c r="R42" s="117"/>
      <c r="S42" s="117"/>
      <c r="T42" s="117"/>
      <c r="U42" s="117"/>
      <c r="V42" s="117"/>
      <c r="W42" s="117"/>
      <c r="X42" s="117"/>
      <c r="Y42" s="117"/>
      <c r="Z42" s="117"/>
    </row>
    <row r="43" spans="1:26" ht="15" x14ac:dyDescent="0.25">
      <c r="A43" s="120" t="s">
        <v>590</v>
      </c>
      <c r="B43" s="126">
        <v>0.18</v>
      </c>
      <c r="C43" s="117"/>
      <c r="D43" s="117"/>
      <c r="E43" s="117"/>
      <c r="F43" s="117"/>
      <c r="G43" s="117"/>
      <c r="H43" s="117"/>
      <c r="I43" s="125"/>
      <c r="J43" s="117"/>
      <c r="K43" s="117"/>
      <c r="L43" s="117"/>
      <c r="M43" s="117"/>
      <c r="N43" s="117"/>
      <c r="O43" s="117"/>
      <c r="P43" s="117"/>
      <c r="Q43" s="117"/>
      <c r="R43" s="117"/>
      <c r="S43" s="117"/>
      <c r="T43" s="117"/>
      <c r="U43" s="117"/>
      <c r="V43" s="117"/>
      <c r="W43" s="117"/>
      <c r="X43" s="117"/>
      <c r="Y43" s="117"/>
      <c r="Z43" s="117"/>
    </row>
    <row r="44" spans="1:26" ht="15" x14ac:dyDescent="0.25">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ht="71.45" customHeight="1" x14ac:dyDescent="0.25">
      <c r="A45" s="777" t="s">
        <v>596</v>
      </c>
      <c r="B45" s="777"/>
      <c r="C45" s="777"/>
      <c r="D45" s="777"/>
      <c r="E45" s="777"/>
      <c r="F45" s="777"/>
      <c r="G45" s="777"/>
      <c r="H45" s="777"/>
      <c r="I45" s="777"/>
      <c r="J45" s="117"/>
      <c r="K45" s="117"/>
      <c r="L45" s="117"/>
      <c r="M45" s="117"/>
      <c r="N45" s="117"/>
      <c r="O45" s="117"/>
      <c r="P45" s="117"/>
      <c r="Q45" s="117"/>
      <c r="R45" s="117"/>
      <c r="S45" s="117"/>
      <c r="T45" s="117"/>
      <c r="U45" s="117"/>
      <c r="V45" s="117"/>
      <c r="W45" s="117"/>
      <c r="X45" s="117"/>
      <c r="Y45" s="117"/>
      <c r="Z45" s="117"/>
    </row>
    <row r="46" spans="1:26" ht="30" x14ac:dyDescent="0.25">
      <c r="A46" s="120" t="s">
        <v>581</v>
      </c>
      <c r="B46" s="121" t="s">
        <v>612</v>
      </c>
      <c r="C46" s="121" t="s">
        <v>603</v>
      </c>
      <c r="D46" s="121" t="s">
        <v>583</v>
      </c>
      <c r="E46" s="121" t="s">
        <v>582</v>
      </c>
      <c r="F46" s="121" t="s">
        <v>584</v>
      </c>
      <c r="G46" s="121" t="s">
        <v>584</v>
      </c>
      <c r="H46" s="121" t="s">
        <v>584</v>
      </c>
      <c r="I46" s="781" t="s">
        <v>613</v>
      </c>
      <c r="J46" s="117"/>
      <c r="K46" s="117"/>
      <c r="L46" s="117"/>
      <c r="M46" s="117"/>
      <c r="N46" s="117"/>
      <c r="O46" s="117"/>
      <c r="P46" s="117"/>
      <c r="Q46" s="117"/>
      <c r="R46" s="117"/>
      <c r="S46" s="117"/>
      <c r="T46" s="117"/>
      <c r="U46" s="117"/>
      <c r="V46" s="117"/>
      <c r="W46" s="117"/>
      <c r="X46" s="117"/>
      <c r="Y46" s="117"/>
      <c r="Z46" s="117"/>
    </row>
    <row r="47" spans="1:26" ht="15" x14ac:dyDescent="0.25">
      <c r="A47" s="120" t="s">
        <v>51</v>
      </c>
      <c r="B47" s="121" t="s">
        <v>614</v>
      </c>
      <c r="C47" s="121" t="s">
        <v>615</v>
      </c>
      <c r="D47" s="121" t="s">
        <v>616</v>
      </c>
      <c r="E47" s="121" t="s">
        <v>617</v>
      </c>
      <c r="F47" s="121" t="s">
        <v>584</v>
      </c>
      <c r="G47" s="121" t="s">
        <v>584</v>
      </c>
      <c r="H47" s="121" t="s">
        <v>584</v>
      </c>
      <c r="I47" s="781"/>
      <c r="J47" s="117"/>
      <c r="K47" s="117"/>
      <c r="L47" s="117"/>
      <c r="M47" s="117"/>
      <c r="N47" s="117"/>
      <c r="O47" s="117"/>
      <c r="P47" s="117"/>
      <c r="Q47" s="117"/>
      <c r="R47" s="117"/>
      <c r="S47" s="117"/>
      <c r="T47" s="117"/>
      <c r="U47" s="117"/>
      <c r="V47" s="117"/>
      <c r="W47" s="117"/>
      <c r="X47" s="117"/>
      <c r="Y47" s="117"/>
      <c r="Z47" s="117"/>
    </row>
    <row r="48" spans="1:26" ht="15" x14ac:dyDescent="0.25">
      <c r="A48" s="117"/>
      <c r="B48" s="117"/>
      <c r="C48" s="117"/>
      <c r="D48" s="117"/>
      <c r="E48" s="117"/>
      <c r="F48" s="117"/>
      <c r="G48" s="117"/>
      <c r="H48" s="117"/>
      <c r="I48" s="781"/>
      <c r="J48" s="117"/>
      <c r="K48" s="117"/>
      <c r="L48" s="117"/>
      <c r="M48" s="117"/>
      <c r="N48" s="117"/>
      <c r="O48" s="117"/>
      <c r="P48" s="117"/>
      <c r="Q48" s="117"/>
      <c r="R48" s="117"/>
      <c r="S48" s="117"/>
      <c r="T48" s="117"/>
      <c r="U48" s="117"/>
      <c r="V48" s="117"/>
      <c r="W48" s="117"/>
      <c r="X48" s="117"/>
      <c r="Y48" s="117"/>
      <c r="Z48" s="117"/>
    </row>
    <row r="49" spans="1:26" ht="30" x14ac:dyDescent="0.25">
      <c r="A49" s="120" t="s">
        <v>586</v>
      </c>
      <c r="B49" s="126">
        <v>0.72</v>
      </c>
      <c r="C49" s="126">
        <v>0.66</v>
      </c>
      <c r="D49" s="126">
        <v>0.44</v>
      </c>
      <c r="E49" s="126">
        <v>7.0000000000000007E-2</v>
      </c>
      <c r="F49" s="121" t="s">
        <v>584</v>
      </c>
      <c r="G49" s="121" t="s">
        <v>584</v>
      </c>
      <c r="H49" s="121" t="s">
        <v>584</v>
      </c>
      <c r="I49" s="781"/>
      <c r="J49" s="117"/>
      <c r="K49" s="117"/>
      <c r="L49" s="117"/>
      <c r="M49" s="117"/>
      <c r="N49" s="117"/>
      <c r="O49" s="117"/>
      <c r="P49" s="117"/>
      <c r="Q49" s="117"/>
      <c r="R49" s="117"/>
      <c r="S49" s="117"/>
      <c r="T49" s="117"/>
      <c r="U49" s="117"/>
      <c r="V49" s="117"/>
      <c r="W49" s="117"/>
      <c r="X49" s="117"/>
      <c r="Y49" s="117"/>
      <c r="Z49" s="117"/>
    </row>
    <row r="50" spans="1:26" ht="30" x14ac:dyDescent="0.25">
      <c r="A50" s="120" t="s">
        <v>587</v>
      </c>
      <c r="B50" s="121">
        <v>84</v>
      </c>
      <c r="C50" s="121">
        <v>95</v>
      </c>
      <c r="D50" s="121">
        <v>120</v>
      </c>
      <c r="E50" s="121">
        <v>44</v>
      </c>
      <c r="F50" s="121" t="s">
        <v>584</v>
      </c>
      <c r="G50" s="121" t="s">
        <v>584</v>
      </c>
      <c r="H50" s="121" t="s">
        <v>584</v>
      </c>
      <c r="I50" s="781"/>
      <c r="J50" s="117"/>
      <c r="K50" s="117"/>
      <c r="L50" s="117"/>
      <c r="M50" s="117"/>
      <c r="N50" s="117"/>
      <c r="O50" s="117"/>
      <c r="P50" s="117"/>
      <c r="Q50" s="117"/>
      <c r="R50" s="117"/>
      <c r="S50" s="117"/>
      <c r="T50" s="117"/>
      <c r="U50" s="117"/>
      <c r="V50" s="117"/>
      <c r="W50" s="117"/>
      <c r="X50" s="117"/>
      <c r="Y50" s="117"/>
      <c r="Z50" s="117"/>
    </row>
    <row r="51" spans="1:26" ht="15" x14ac:dyDescent="0.25">
      <c r="A51" s="120" t="s">
        <v>588</v>
      </c>
      <c r="B51" s="126">
        <v>0.32</v>
      </c>
      <c r="C51" s="126">
        <v>0.33</v>
      </c>
      <c r="D51" s="126">
        <v>0.28000000000000003</v>
      </c>
      <c r="E51" s="126">
        <v>0.02</v>
      </c>
      <c r="F51" s="121" t="s">
        <v>584</v>
      </c>
      <c r="G51" s="121" t="s">
        <v>584</v>
      </c>
      <c r="H51" s="121" t="s">
        <v>584</v>
      </c>
      <c r="I51" s="781"/>
      <c r="J51" s="117"/>
      <c r="K51" s="117"/>
      <c r="L51" s="117"/>
      <c r="M51" s="117"/>
      <c r="N51" s="117"/>
      <c r="O51" s="117"/>
      <c r="P51" s="117"/>
      <c r="Q51" s="117"/>
      <c r="R51" s="117"/>
      <c r="S51" s="117"/>
      <c r="T51" s="117"/>
      <c r="U51" s="117"/>
      <c r="V51" s="117"/>
      <c r="W51" s="117"/>
      <c r="X51" s="117"/>
      <c r="Y51" s="117"/>
      <c r="Z51" s="117"/>
    </row>
    <row r="52" spans="1:26" ht="15" x14ac:dyDescent="0.25">
      <c r="A52" s="117"/>
      <c r="B52" s="117"/>
      <c r="C52" s="117"/>
      <c r="D52" s="117"/>
      <c r="E52" s="117"/>
      <c r="F52" s="117"/>
      <c r="G52" s="117"/>
      <c r="H52" s="117"/>
      <c r="I52" s="125"/>
      <c r="J52" s="117"/>
      <c r="K52" s="117"/>
      <c r="L52" s="117"/>
      <c r="M52" s="117"/>
      <c r="N52" s="117"/>
      <c r="O52" s="117"/>
      <c r="P52" s="117"/>
      <c r="Q52" s="117"/>
      <c r="R52" s="117"/>
      <c r="S52" s="117"/>
      <c r="T52" s="117"/>
      <c r="U52" s="117"/>
      <c r="V52" s="117"/>
      <c r="W52" s="117"/>
      <c r="X52" s="117"/>
      <c r="Y52" s="117"/>
      <c r="Z52" s="117"/>
    </row>
    <row r="53" spans="1:26" ht="15" x14ac:dyDescent="0.25">
      <c r="A53" s="127" t="s">
        <v>589</v>
      </c>
      <c r="B53" s="117"/>
      <c r="C53" s="117"/>
      <c r="D53" s="117"/>
      <c r="E53" s="117"/>
      <c r="F53" s="117"/>
      <c r="G53" s="117"/>
      <c r="H53" s="117"/>
      <c r="I53" s="125"/>
      <c r="J53" s="117"/>
      <c r="K53" s="117"/>
      <c r="L53" s="117"/>
      <c r="M53" s="117"/>
      <c r="N53" s="117"/>
      <c r="O53" s="117"/>
      <c r="P53" s="117"/>
      <c r="Q53" s="117"/>
      <c r="R53" s="117"/>
      <c r="S53" s="117"/>
      <c r="T53" s="117"/>
      <c r="U53" s="117"/>
      <c r="V53" s="117"/>
      <c r="W53" s="117"/>
      <c r="X53" s="117"/>
      <c r="Y53" s="117"/>
      <c r="Z53" s="117"/>
    </row>
    <row r="54" spans="1:26" ht="15" x14ac:dyDescent="0.25">
      <c r="A54" s="120" t="s">
        <v>590</v>
      </c>
      <c r="B54" s="126">
        <v>0.39</v>
      </c>
      <c r="C54" s="117"/>
      <c r="D54" s="117"/>
      <c r="E54" s="117"/>
      <c r="F54" s="117"/>
      <c r="G54" s="117"/>
      <c r="H54" s="117"/>
      <c r="I54" s="125"/>
      <c r="J54" s="117"/>
      <c r="K54" s="117"/>
      <c r="L54" s="117"/>
      <c r="M54" s="117"/>
      <c r="N54" s="117"/>
      <c r="O54" s="117"/>
      <c r="P54" s="117"/>
      <c r="Q54" s="117"/>
      <c r="R54" s="117"/>
      <c r="S54" s="117"/>
      <c r="T54" s="117"/>
      <c r="U54" s="117"/>
      <c r="V54" s="117"/>
      <c r="W54" s="117"/>
      <c r="X54" s="117"/>
      <c r="Y54" s="117"/>
      <c r="Z54" s="117"/>
    </row>
    <row r="55" spans="1:26" ht="15" x14ac:dyDescent="0.25">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ht="45" x14ac:dyDescent="0.25">
      <c r="A56" s="128" t="s">
        <v>597</v>
      </c>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sheetData>
  <mergeCells count="11">
    <mergeCell ref="I24:I29"/>
    <mergeCell ref="A34:I34"/>
    <mergeCell ref="I35:I40"/>
    <mergeCell ref="A45:I45"/>
    <mergeCell ref="I46:I51"/>
    <mergeCell ref="A23:I23"/>
    <mergeCell ref="A5:I5"/>
    <mergeCell ref="A6:I6"/>
    <mergeCell ref="I7:I10"/>
    <mergeCell ref="A12:I12"/>
    <mergeCell ref="I13:I18"/>
  </mergeCells>
  <hyperlinks>
    <hyperlink ref="H1" location="Index!A1" display="Return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1" sqref="H1"/>
    </sheetView>
  </sheetViews>
  <sheetFormatPr defaultRowHeight="12.75" x14ac:dyDescent="0.2"/>
  <cols>
    <col min="5" max="5" width="19.5703125" customWidth="1"/>
  </cols>
  <sheetData>
    <row r="1" spans="1:8" x14ac:dyDescent="0.2">
      <c r="A1" s="32" t="s">
        <v>162</v>
      </c>
      <c r="B1" s="312">
        <v>3</v>
      </c>
      <c r="C1" s="312"/>
      <c r="D1" s="312"/>
      <c r="E1" s="312"/>
      <c r="F1" s="312"/>
      <c r="H1" s="48" t="s">
        <v>3630</v>
      </c>
    </row>
    <row r="2" spans="1:8" x14ac:dyDescent="0.2">
      <c r="A2" s="32" t="s">
        <v>633</v>
      </c>
      <c r="B2" s="32" t="s">
        <v>3571</v>
      </c>
      <c r="C2" s="312"/>
      <c r="D2" s="312"/>
      <c r="E2" s="312"/>
      <c r="F2" s="312"/>
    </row>
    <row r="3" spans="1:8" x14ac:dyDescent="0.2">
      <c r="A3" s="32" t="s">
        <v>138</v>
      </c>
      <c r="B3" s="32" t="s">
        <v>3572</v>
      </c>
      <c r="C3" s="312"/>
      <c r="D3" s="48" t="s">
        <v>161</v>
      </c>
      <c r="E3" s="312"/>
      <c r="F3" s="312"/>
    </row>
    <row r="6" spans="1:8" x14ac:dyDescent="0.2">
      <c r="B6" s="32" t="s">
        <v>3573</v>
      </c>
      <c r="E6" s="148">
        <v>1495151</v>
      </c>
    </row>
    <row r="8" spans="1:8" x14ac:dyDescent="0.2">
      <c r="B8" s="32" t="s">
        <v>3618</v>
      </c>
      <c r="E8" s="225">
        <v>6.9000000000000006E-2</v>
      </c>
    </row>
    <row r="9" spans="1:8" x14ac:dyDescent="0.2">
      <c r="B9" s="32" t="s">
        <v>3574</v>
      </c>
      <c r="E9" s="225">
        <v>4.8000000000000001E-2</v>
      </c>
    </row>
    <row r="10" spans="1:8" x14ac:dyDescent="0.2">
      <c r="B10" s="32" t="s">
        <v>3575</v>
      </c>
      <c r="E10" s="225">
        <f>+E9*0.2</f>
        <v>9.6000000000000009E-3</v>
      </c>
    </row>
    <row r="12" spans="1:8" x14ac:dyDescent="0.2">
      <c r="B12" s="32" t="s">
        <v>3576</v>
      </c>
      <c r="E12" s="148">
        <f>E6*(E8+E10)</f>
        <v>117518.8686</v>
      </c>
      <c r="F12" s="318">
        <f>+E8+E10</f>
        <v>7.8600000000000003E-2</v>
      </c>
    </row>
    <row r="14" spans="1:8" x14ac:dyDescent="0.2">
      <c r="B14" s="32" t="s">
        <v>3577</v>
      </c>
      <c r="E14" s="57">
        <v>200</v>
      </c>
    </row>
    <row r="16" spans="1:8" x14ac:dyDescent="0.2">
      <c r="B16" s="32" t="s">
        <v>3578</v>
      </c>
      <c r="E16" s="57">
        <f>+E14*E12</f>
        <v>23503773.719999999</v>
      </c>
    </row>
    <row r="18" spans="2:2" x14ac:dyDescent="0.2">
      <c r="B18" s="32"/>
    </row>
  </sheetData>
  <hyperlinks>
    <hyperlink ref="D3" r:id="rId1"/>
    <hyperlink ref="H1" location="Index!A1" display="Return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48"/>
  <sheetViews>
    <sheetView workbookViewId="0">
      <selection activeCell="H1" sqref="H1"/>
    </sheetView>
  </sheetViews>
  <sheetFormatPr defaultColWidth="14.42578125" defaultRowHeight="15.75" customHeight="1" x14ac:dyDescent="0.2"/>
  <cols>
    <col min="1" max="1" width="32.42578125" customWidth="1"/>
    <col min="2" max="2" width="13.28515625" customWidth="1"/>
    <col min="3" max="3" width="13.28515625" style="308" customWidth="1"/>
    <col min="4" max="5" width="16.5703125" customWidth="1"/>
    <col min="6" max="6" width="19.42578125" customWidth="1"/>
  </cols>
  <sheetData>
    <row r="1" spans="1:28" s="147" customFormat="1" ht="15.75" customHeight="1" x14ac:dyDescent="0.2">
      <c r="A1" s="147" t="s">
        <v>295</v>
      </c>
      <c r="B1" s="147">
        <v>3</v>
      </c>
      <c r="C1" s="308"/>
      <c r="H1" s="48" t="s">
        <v>3630</v>
      </c>
    </row>
    <row r="2" spans="1:28" s="147" customFormat="1" ht="15.75" customHeight="1" x14ac:dyDescent="0.2">
      <c r="A2" s="147" t="s">
        <v>633</v>
      </c>
      <c r="B2" s="32" t="s">
        <v>3520</v>
      </c>
      <c r="C2" s="32"/>
    </row>
    <row r="3" spans="1:28" s="147" customFormat="1" ht="15.75" customHeight="1" x14ac:dyDescent="0.2">
      <c r="B3" s="32"/>
      <c r="C3" s="32"/>
    </row>
    <row r="4" spans="1:28" s="147" customFormat="1" ht="15.75" customHeight="1" x14ac:dyDescent="0.2">
      <c r="B4" s="32"/>
      <c r="C4" s="32"/>
    </row>
    <row r="5" spans="1:28" ht="15.75" customHeight="1" x14ac:dyDescent="0.2">
      <c r="A5" s="1" t="s">
        <v>0</v>
      </c>
      <c r="B5" s="1" t="s">
        <v>1</v>
      </c>
      <c r="C5" s="1"/>
      <c r="D5" s="1" t="s">
        <v>2</v>
      </c>
      <c r="E5" s="1" t="s">
        <v>3</v>
      </c>
      <c r="F5" s="1" t="s">
        <v>4</v>
      </c>
      <c r="G5" s="1" t="s">
        <v>5</v>
      </c>
      <c r="H5" s="2"/>
      <c r="I5" s="2"/>
      <c r="J5" s="2"/>
      <c r="K5" s="2"/>
      <c r="L5" s="2"/>
      <c r="M5" s="2"/>
      <c r="N5" s="2"/>
      <c r="O5" s="2"/>
      <c r="P5" s="2"/>
      <c r="Q5" s="2"/>
      <c r="R5" s="2"/>
      <c r="S5" s="2"/>
      <c r="T5" s="2"/>
      <c r="U5" s="2"/>
      <c r="V5" s="2"/>
      <c r="W5" s="2"/>
      <c r="X5" s="2"/>
      <c r="Y5" s="2"/>
      <c r="Z5" s="2"/>
      <c r="AA5" s="2"/>
      <c r="AB5" s="2"/>
    </row>
    <row r="8" spans="1:28" ht="15.75" customHeight="1" x14ac:dyDescent="0.2">
      <c r="A8" s="5" t="s">
        <v>12</v>
      </c>
      <c r="B8" s="5" t="s">
        <v>13</v>
      </c>
      <c r="C8" s="22"/>
      <c r="E8" s="9"/>
      <c r="F8" s="5"/>
    </row>
    <row r="10" spans="1:28" ht="15.75" customHeight="1" x14ac:dyDescent="0.2">
      <c r="B10" s="32" t="s">
        <v>3549</v>
      </c>
      <c r="E10" s="10">
        <v>18695455043</v>
      </c>
      <c r="G10" s="48" t="s">
        <v>635</v>
      </c>
    </row>
    <row r="11" spans="1:28" ht="15.75" customHeight="1" x14ac:dyDescent="0.2">
      <c r="B11" s="32" t="s">
        <v>3550</v>
      </c>
      <c r="E11" s="10">
        <v>2052249262</v>
      </c>
      <c r="G11" s="22" t="s">
        <v>3552</v>
      </c>
    </row>
    <row r="12" spans="1:28" ht="15.75" customHeight="1" x14ac:dyDescent="0.2">
      <c r="B12" s="12" t="s">
        <v>14</v>
      </c>
      <c r="E12" s="11">
        <f>E11/E10</f>
        <v>0.10977262961932603</v>
      </c>
    </row>
    <row r="14" spans="1:28" ht="15.75" customHeight="1" x14ac:dyDescent="0.2">
      <c r="B14" s="32" t="s">
        <v>15</v>
      </c>
      <c r="E14" s="209">
        <v>1000</v>
      </c>
      <c r="G14" s="48" t="s">
        <v>3553</v>
      </c>
    </row>
    <row r="15" spans="1:28" ht="15.75" customHeight="1" x14ac:dyDescent="0.2">
      <c r="B15" s="304" t="s">
        <v>3551</v>
      </c>
      <c r="C15" s="304"/>
      <c r="E15" s="303">
        <f>E14*E12</f>
        <v>109.77262961932603</v>
      </c>
      <c r="G15" s="5" t="s">
        <v>16</v>
      </c>
    </row>
    <row r="17" spans="1:28" ht="15.75" customHeight="1" x14ac:dyDescent="0.2">
      <c r="B17" s="5" t="s">
        <v>17</v>
      </c>
      <c r="C17" s="22"/>
      <c r="E17" s="10">
        <v>507582</v>
      </c>
      <c r="G17" s="48" t="s">
        <v>3539</v>
      </c>
    </row>
    <row r="19" spans="1:28" ht="15.75" customHeight="1" x14ac:dyDescent="0.2">
      <c r="B19" s="114" t="s">
        <v>3166</v>
      </c>
      <c r="C19" s="114"/>
      <c r="E19" s="305">
        <f>+E17*E15</f>
        <v>55718610.88743674</v>
      </c>
    </row>
    <row r="20" spans="1:28" ht="15.75" customHeight="1" x14ac:dyDescent="0.2">
      <c r="A20" s="32"/>
      <c r="B20" s="32"/>
      <c r="C20" s="32"/>
      <c r="D20" s="139"/>
      <c r="E20" s="139"/>
      <c r="F20" s="139"/>
      <c r="G20" s="32"/>
      <c r="H20" s="139"/>
      <c r="I20" s="139"/>
      <c r="J20" s="48"/>
      <c r="K20" s="139"/>
      <c r="L20" s="139"/>
      <c r="M20" s="139"/>
      <c r="N20" s="139"/>
      <c r="O20" s="139"/>
    </row>
    <row r="21" spans="1:28" ht="15.75" customHeight="1" x14ac:dyDescent="0.2">
      <c r="A21" s="139"/>
      <c r="B21" s="32"/>
      <c r="C21" s="32"/>
      <c r="D21" s="139"/>
      <c r="E21" s="57"/>
      <c r="F21" s="139"/>
      <c r="G21" s="139"/>
      <c r="H21" s="139"/>
      <c r="I21" s="139"/>
      <c r="J21" s="139"/>
      <c r="K21" s="139"/>
      <c r="L21" s="139"/>
      <c r="M21" s="139"/>
      <c r="N21" s="139"/>
      <c r="O21" s="139"/>
    </row>
    <row r="22" spans="1:28" ht="15.75" customHeight="1" x14ac:dyDescent="0.2">
      <c r="B22" s="32"/>
      <c r="C22" s="32"/>
      <c r="D22" s="139"/>
      <c r="E22" s="148"/>
      <c r="F22" s="139"/>
      <c r="G22" s="139"/>
      <c r="I22" s="139"/>
      <c r="K22" s="139"/>
      <c r="L22" s="139"/>
      <c r="M22" s="139"/>
      <c r="N22" s="139"/>
    </row>
    <row r="24" spans="1:28" ht="15.75" customHeight="1" x14ac:dyDescent="0.2">
      <c r="N24" s="2"/>
      <c r="O24" s="2"/>
      <c r="P24" s="2"/>
      <c r="Q24" s="2"/>
      <c r="R24" s="2"/>
      <c r="S24" s="2"/>
      <c r="T24" s="2"/>
      <c r="U24" s="2"/>
      <c r="V24" s="2"/>
      <c r="W24" s="2"/>
      <c r="X24" s="2"/>
      <c r="Y24" s="2"/>
      <c r="Z24" s="2"/>
      <c r="AA24" s="2"/>
      <c r="AB24" s="2"/>
    </row>
    <row r="27" spans="1:28" ht="34.5" customHeight="1" x14ac:dyDescent="0.2"/>
    <row r="39" ht="47.45" customHeight="1" x14ac:dyDescent="0.2"/>
    <row r="45" ht="53.45" customHeight="1" x14ac:dyDescent="0.2"/>
    <row r="46" ht="33.6" customHeight="1" x14ac:dyDescent="0.2"/>
    <row r="48" ht="40.15" customHeight="1" x14ac:dyDescent="0.2"/>
  </sheetData>
  <hyperlinks>
    <hyperlink ref="G10" r:id="rId1" location="page=39"/>
    <hyperlink ref="G14" r:id="rId2"/>
    <hyperlink ref="G17" r:id="rId3"/>
    <hyperlink ref="H1" location="Index!A1" display="Return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90" zoomScaleNormal="90" workbookViewId="0">
      <selection activeCell="A4" sqref="A4:F42"/>
    </sheetView>
  </sheetViews>
  <sheetFormatPr defaultRowHeight="12.75" x14ac:dyDescent="0.2"/>
  <cols>
    <col min="1" max="1" width="15.7109375" customWidth="1"/>
    <col min="2" max="2" width="16.7109375" customWidth="1"/>
    <col min="3" max="3" width="17.140625" customWidth="1"/>
    <col min="4" max="5" width="13.140625" customWidth="1"/>
    <col min="6" max="6" width="12.42578125" customWidth="1"/>
    <col min="7" max="7" width="14.28515625" customWidth="1"/>
  </cols>
  <sheetData>
    <row r="1" spans="1:8" x14ac:dyDescent="0.2">
      <c r="A1" s="47" t="s">
        <v>162</v>
      </c>
      <c r="B1">
        <v>1</v>
      </c>
      <c r="H1" s="48" t="s">
        <v>3630</v>
      </c>
    </row>
    <row r="2" spans="1:8" x14ac:dyDescent="0.2">
      <c r="A2" s="47" t="s">
        <v>163</v>
      </c>
      <c r="B2">
        <v>1</v>
      </c>
    </row>
    <row r="4" spans="1:8" x14ac:dyDescent="0.2">
      <c r="A4" s="687"/>
      <c r="B4" s="687"/>
      <c r="C4" s="687"/>
      <c r="D4" s="687"/>
      <c r="E4" s="687"/>
      <c r="F4" s="687"/>
    </row>
    <row r="5" spans="1:8" s="112" customFormat="1" ht="51" x14ac:dyDescent="0.2">
      <c r="A5" s="693"/>
      <c r="B5" s="694" t="s">
        <v>3447</v>
      </c>
      <c r="C5" s="241" t="s">
        <v>3448</v>
      </c>
      <c r="D5" s="695" t="s">
        <v>3536</v>
      </c>
      <c r="E5" s="696" t="s">
        <v>3449</v>
      </c>
      <c r="F5" s="680" t="s">
        <v>3456</v>
      </c>
    </row>
    <row r="6" spans="1:8" x14ac:dyDescent="0.2">
      <c r="A6" s="697" t="s">
        <v>140</v>
      </c>
      <c r="B6" s="698">
        <v>4981</v>
      </c>
      <c r="C6" s="240">
        <v>61.817999999999998</v>
      </c>
      <c r="D6" s="699">
        <v>3454.3649999999998</v>
      </c>
      <c r="E6" s="700">
        <f>+B6*$C$29/C6*$D$29/D6</f>
        <v>11250.304829376002</v>
      </c>
      <c r="F6" s="701">
        <f>(E6-$E$6)/$E$6</f>
        <v>0</v>
      </c>
    </row>
    <row r="7" spans="1:8" x14ac:dyDescent="0.2">
      <c r="A7" s="697" t="s">
        <v>141</v>
      </c>
      <c r="B7" s="698">
        <v>5389.1</v>
      </c>
      <c r="C7" s="240">
        <v>64.959000000000003</v>
      </c>
      <c r="D7" s="699">
        <v>3467.1</v>
      </c>
      <c r="E7" s="700">
        <f t="shared" ref="E7:E29" si="0">+B7*$C$29/C7*$D$29/D7</f>
        <v>11540.94753929139</v>
      </c>
      <c r="F7" s="701">
        <f t="shared" ref="F7:F29" si="1">(E7-$E$6)/$E$6</f>
        <v>2.583420754577976E-2</v>
      </c>
    </row>
    <row r="8" spans="1:8" x14ac:dyDescent="0.2">
      <c r="A8" s="697" t="s">
        <v>142</v>
      </c>
      <c r="B8" s="698">
        <v>5491.1</v>
      </c>
      <c r="C8" s="240">
        <v>67.956000000000003</v>
      </c>
      <c r="D8" s="699">
        <v>3489.08</v>
      </c>
      <c r="E8" s="700">
        <f t="shared" si="0"/>
        <v>11169.958019315316</v>
      </c>
      <c r="F8" s="701">
        <f t="shared" si="1"/>
        <v>-7.1417451597302608E-3</v>
      </c>
    </row>
    <row r="9" spans="1:8" x14ac:dyDescent="0.2">
      <c r="A9" s="697" t="s">
        <v>143</v>
      </c>
      <c r="B9" s="698">
        <v>5190.7</v>
      </c>
      <c r="C9" s="240">
        <v>68.951999999999998</v>
      </c>
      <c r="D9" s="699">
        <v>3504.8919999999998</v>
      </c>
      <c r="E9" s="700">
        <f t="shared" si="0"/>
        <v>10359.417699695514</v>
      </c>
      <c r="F9" s="701">
        <f t="shared" si="1"/>
        <v>-7.91878214138933E-2</v>
      </c>
    </row>
    <row r="10" spans="1:8" x14ac:dyDescent="0.2">
      <c r="A10" s="697" t="s">
        <v>144</v>
      </c>
      <c r="B10" s="698">
        <v>5145.2</v>
      </c>
      <c r="C10" s="240">
        <v>71.644999999999996</v>
      </c>
      <c r="D10" s="699">
        <v>3525.2330000000002</v>
      </c>
      <c r="E10" s="700">
        <f t="shared" si="0"/>
        <v>9825.6088247638399</v>
      </c>
      <c r="F10" s="701">
        <f t="shared" si="1"/>
        <v>-0.12663621352659676</v>
      </c>
    </row>
    <row r="11" spans="1:8" x14ac:dyDescent="0.2">
      <c r="A11" s="697" t="s">
        <v>145</v>
      </c>
      <c r="B11" s="698">
        <v>5458.9</v>
      </c>
      <c r="C11" s="240">
        <v>73.646000000000001</v>
      </c>
      <c r="D11" s="699">
        <v>3548.5970000000002</v>
      </c>
      <c r="E11" s="700">
        <f t="shared" si="0"/>
        <v>10074.655792176676</v>
      </c>
      <c r="F11" s="701">
        <f t="shared" si="1"/>
        <v>-0.10449930513256442</v>
      </c>
    </row>
    <row r="12" spans="1:8" x14ac:dyDescent="0.2">
      <c r="A12" s="697" t="s">
        <v>146</v>
      </c>
      <c r="B12" s="698">
        <v>6217</v>
      </c>
      <c r="C12" s="240">
        <v>77.91</v>
      </c>
      <c r="D12" s="699">
        <v>3594.09</v>
      </c>
      <c r="E12" s="700">
        <f t="shared" si="0"/>
        <v>10708.524582258669</v>
      </c>
      <c r="F12" s="701">
        <f t="shared" si="1"/>
        <v>-4.815693933045035E-2</v>
      </c>
    </row>
    <row r="13" spans="1:8" x14ac:dyDescent="0.2">
      <c r="A13" s="697" t="s">
        <v>147</v>
      </c>
      <c r="B13" s="698">
        <v>6760</v>
      </c>
      <c r="C13" s="240">
        <v>82.043000000000006</v>
      </c>
      <c r="D13" s="699">
        <v>3634.3490000000002</v>
      </c>
      <c r="E13" s="700">
        <f t="shared" si="0"/>
        <v>10934.765076347438</v>
      </c>
      <c r="F13" s="701">
        <f t="shared" si="1"/>
        <v>-2.8047218081118066E-2</v>
      </c>
    </row>
    <row r="14" spans="1:8" x14ac:dyDescent="0.2">
      <c r="A14" s="697" t="s">
        <v>148</v>
      </c>
      <c r="B14" s="698">
        <v>7042.6627660000004</v>
      </c>
      <c r="C14" s="240">
        <v>86.635000000000005</v>
      </c>
      <c r="D14" s="699">
        <v>3668.9760000000001</v>
      </c>
      <c r="E14" s="700">
        <f t="shared" si="0"/>
        <v>10686.354214235846</v>
      </c>
      <c r="F14" s="701">
        <f t="shared" si="1"/>
        <v>-5.0127585313742652E-2</v>
      </c>
    </row>
    <row r="15" spans="1:8" x14ac:dyDescent="0.2">
      <c r="A15" s="697" t="s">
        <v>149</v>
      </c>
      <c r="B15" s="698">
        <v>7125</v>
      </c>
      <c r="C15" s="240">
        <v>91.25</v>
      </c>
      <c r="D15" s="699">
        <v>3717.5720000000001</v>
      </c>
      <c r="E15" s="700">
        <f t="shared" si="0"/>
        <v>10130.328536031342</v>
      </c>
      <c r="F15" s="701">
        <f t="shared" si="1"/>
        <v>-9.955075087567912E-2</v>
      </c>
    </row>
    <row r="16" spans="1:8" x14ac:dyDescent="0.2">
      <c r="A16" s="697" t="s">
        <v>150</v>
      </c>
      <c r="B16" s="698">
        <v>6959</v>
      </c>
      <c r="C16" s="240">
        <v>91.480999999999995</v>
      </c>
      <c r="D16" s="699">
        <v>3760.0140000000001</v>
      </c>
      <c r="E16" s="700">
        <f t="shared" si="0"/>
        <v>9757.9231684766</v>
      </c>
      <c r="F16" s="701">
        <f t="shared" si="1"/>
        <v>-0.13265255328927625</v>
      </c>
    </row>
    <row r="17" spans="1:7" x14ac:dyDescent="0.2">
      <c r="A17" s="697" t="s">
        <v>151</v>
      </c>
      <c r="B17" s="698">
        <v>6765.1</v>
      </c>
      <c r="C17" s="240">
        <v>93.77</v>
      </c>
      <c r="D17" s="699">
        <v>3788.8240000000001</v>
      </c>
      <c r="E17" s="700">
        <f t="shared" si="0"/>
        <v>9184.1040627770381</v>
      </c>
      <c r="F17" s="701">
        <f t="shared" si="1"/>
        <v>-0.18365731399595914</v>
      </c>
    </row>
    <row r="18" spans="1:7" x14ac:dyDescent="0.2">
      <c r="A18" s="697" t="s">
        <v>152</v>
      </c>
      <c r="B18" s="698">
        <v>6602.8</v>
      </c>
      <c r="C18" s="240">
        <v>96.643000000000001</v>
      </c>
      <c r="D18" s="699">
        <v>3819.32</v>
      </c>
      <c r="E18" s="700">
        <f t="shared" si="0"/>
        <v>8627.8505898811745</v>
      </c>
      <c r="F18" s="701">
        <f t="shared" si="1"/>
        <v>-0.23310072742627028</v>
      </c>
    </row>
    <row r="19" spans="1:7" x14ac:dyDescent="0.2">
      <c r="A19" s="697" t="s">
        <v>153</v>
      </c>
      <c r="B19" s="698">
        <v>6873.9</v>
      </c>
      <c r="C19" s="240">
        <v>99.406000000000006</v>
      </c>
      <c r="D19" s="699">
        <v>3853.8910000000001</v>
      </c>
      <c r="E19" s="700">
        <f t="shared" si="0"/>
        <v>8654.1039411860129</v>
      </c>
      <c r="F19" s="701">
        <f t="shared" si="1"/>
        <v>-0.23076715942940254</v>
      </c>
    </row>
    <row r="20" spans="1:7" x14ac:dyDescent="0.2">
      <c r="A20" s="697" t="s">
        <v>154</v>
      </c>
      <c r="B20" s="698">
        <v>7197</v>
      </c>
      <c r="C20" s="240">
        <v>102.319</v>
      </c>
      <c r="D20" s="699">
        <v>3879.1869999999999</v>
      </c>
      <c r="E20" s="700">
        <f t="shared" si="0"/>
        <v>8745.5156863844604</v>
      </c>
      <c r="F20" s="701">
        <f t="shared" si="1"/>
        <v>-0.22264189112913749</v>
      </c>
    </row>
    <row r="21" spans="1:7" x14ac:dyDescent="0.2">
      <c r="A21" s="697" t="s">
        <v>155</v>
      </c>
      <c r="B21" s="698">
        <v>7235</v>
      </c>
      <c r="C21" s="240">
        <v>105.086</v>
      </c>
      <c r="D21" s="699">
        <v>3910.518</v>
      </c>
      <c r="E21" s="700">
        <f t="shared" si="0"/>
        <v>8491.6152422317336</v>
      </c>
      <c r="F21" s="701">
        <f t="shared" si="1"/>
        <v>-0.24521020798840693</v>
      </c>
    </row>
    <row r="22" spans="1:7" x14ac:dyDescent="0.2">
      <c r="A22" s="697" t="s">
        <v>156</v>
      </c>
      <c r="B22" s="698">
        <v>6980.58</v>
      </c>
      <c r="C22" s="240">
        <v>105.11</v>
      </c>
      <c r="D22" s="699">
        <v>3928.143</v>
      </c>
      <c r="E22" s="700">
        <f t="shared" si="0"/>
        <v>8154.3830070229251</v>
      </c>
      <c r="F22" s="701">
        <f t="shared" si="1"/>
        <v>-0.27518559446222507</v>
      </c>
    </row>
    <row r="23" spans="1:7" x14ac:dyDescent="0.2">
      <c r="A23" s="697" t="s">
        <v>157</v>
      </c>
      <c r="B23" s="698">
        <v>6901.9</v>
      </c>
      <c r="C23" s="240">
        <v>104.867</v>
      </c>
      <c r="D23" s="699">
        <v>3933.6019999999999</v>
      </c>
      <c r="E23" s="700">
        <f t="shared" si="0"/>
        <v>8069.9403680694395</v>
      </c>
      <c r="F23" s="701">
        <f t="shared" si="1"/>
        <v>-0.28269140343666238</v>
      </c>
    </row>
    <row r="24" spans="1:7" x14ac:dyDescent="0.2">
      <c r="A24" s="697" t="s">
        <v>158</v>
      </c>
      <c r="B24" s="698">
        <v>6965.7</v>
      </c>
      <c r="C24" s="240">
        <v>107.45099999999999</v>
      </c>
      <c r="D24" s="699">
        <v>3943.4879999999998</v>
      </c>
      <c r="E24" s="700">
        <f t="shared" si="0"/>
        <v>7928.7496290052986</v>
      </c>
      <c r="F24" s="701">
        <f t="shared" si="1"/>
        <v>-0.29524135130078366</v>
      </c>
    </row>
    <row r="25" spans="1:7" x14ac:dyDescent="0.2">
      <c r="A25" s="697" t="s">
        <v>159</v>
      </c>
      <c r="B25" s="698">
        <v>7669.0403809999998</v>
      </c>
      <c r="C25" s="240">
        <v>111.188</v>
      </c>
      <c r="D25" s="699">
        <v>3960.6759999999999</v>
      </c>
      <c r="E25" s="700">
        <f t="shared" si="0"/>
        <v>8399.3313140461578</v>
      </c>
      <c r="F25" s="701">
        <f t="shared" si="1"/>
        <v>-0.25341300156468505</v>
      </c>
    </row>
    <row r="26" spans="1:7" x14ac:dyDescent="0.2">
      <c r="A26" s="697" t="s">
        <v>3450</v>
      </c>
      <c r="B26" s="698">
        <v>8123.1192469999996</v>
      </c>
      <c r="C26" s="240">
        <v>113.911</v>
      </c>
      <c r="D26" s="699">
        <v>3980.7829999999999</v>
      </c>
      <c r="E26" s="700">
        <f t="shared" si="0"/>
        <v>8640.1162002520632</v>
      </c>
      <c r="F26" s="701">
        <f t="shared" si="1"/>
        <v>-0.23201048049012846</v>
      </c>
    </row>
    <row r="27" spans="1:7" x14ac:dyDescent="0.2">
      <c r="A27" s="697" t="s">
        <v>3451</v>
      </c>
      <c r="B27" s="698">
        <v>7715.396428</v>
      </c>
      <c r="C27" s="702">
        <v>116.685</v>
      </c>
      <c r="D27" s="703">
        <f>+D26*($D$26/$D$25)</f>
        <v>4000.9920763750933</v>
      </c>
      <c r="E27" s="700">
        <f t="shared" si="0"/>
        <v>7970.8832286277093</v>
      </c>
      <c r="F27" s="701">
        <f t="shared" si="1"/>
        <v>-0.29149624392268009</v>
      </c>
    </row>
    <row r="28" spans="1:7" x14ac:dyDescent="0.2">
      <c r="A28" s="697" t="s">
        <v>3452</v>
      </c>
      <c r="B28" s="698">
        <v>7949.1189350000004</v>
      </c>
      <c r="C28" s="240">
        <v>116.685</v>
      </c>
      <c r="D28" s="704">
        <f>+D27</f>
        <v>4000.9920763750933</v>
      </c>
      <c r="E28" s="700">
        <f t="shared" si="0"/>
        <v>8212.345197378685</v>
      </c>
      <c r="F28" s="701">
        <f t="shared" si="1"/>
        <v>-0.27003353936373448</v>
      </c>
    </row>
    <row r="29" spans="1:7" x14ac:dyDescent="0.2">
      <c r="A29" s="697" t="s">
        <v>3453</v>
      </c>
      <c r="B29" s="705">
        <v>8831.0257440000005</v>
      </c>
      <c r="C29" s="706">
        <v>119.94</v>
      </c>
      <c r="D29" s="707">
        <f>+D28*($D$26/$D$25)</f>
        <v>4021.3037473321911</v>
      </c>
      <c r="E29" s="700">
        <f t="shared" si="0"/>
        <v>8831.0257440000023</v>
      </c>
      <c r="F29" s="701">
        <f t="shared" si="1"/>
        <v>-0.21504120306668925</v>
      </c>
    </row>
    <row r="30" spans="1:7" x14ac:dyDescent="0.2">
      <c r="A30" s="687"/>
      <c r="B30" s="708"/>
      <c r="C30" s="321"/>
      <c r="D30" s="321"/>
      <c r="E30" s="709"/>
      <c r="F30" s="708"/>
      <c r="G30" s="36"/>
    </row>
    <row r="31" spans="1:7" x14ac:dyDescent="0.2">
      <c r="A31" s="687"/>
      <c r="B31" s="687"/>
      <c r="C31" s="687"/>
      <c r="D31" s="687"/>
      <c r="E31" s="687"/>
      <c r="F31" s="687"/>
    </row>
    <row r="32" spans="1:7" x14ac:dyDescent="0.2">
      <c r="A32" s="710" t="s">
        <v>139</v>
      </c>
      <c r="B32" s="687"/>
      <c r="C32" s="687"/>
      <c r="D32" s="687"/>
      <c r="E32" s="687"/>
      <c r="F32" s="687"/>
    </row>
    <row r="33" spans="1:11" x14ac:dyDescent="0.2">
      <c r="A33" s="711">
        <v>-1</v>
      </c>
      <c r="B33" s="710" t="s">
        <v>160</v>
      </c>
      <c r="C33" s="687"/>
      <c r="D33" s="687"/>
      <c r="E33" s="687"/>
      <c r="F33" s="687"/>
    </row>
    <row r="34" spans="1:11" x14ac:dyDescent="0.2">
      <c r="A34" s="711">
        <v>-2</v>
      </c>
      <c r="B34" s="688" t="s">
        <v>3454</v>
      </c>
      <c r="C34" s="687"/>
      <c r="D34" s="687"/>
      <c r="E34" s="687"/>
      <c r="F34" s="687"/>
      <c r="I34" s="48" t="s">
        <v>161</v>
      </c>
    </row>
    <row r="35" spans="1:11" x14ac:dyDescent="0.2">
      <c r="A35" s="711">
        <v>-3</v>
      </c>
      <c r="B35" s="688" t="s">
        <v>3455</v>
      </c>
      <c r="C35" s="687"/>
      <c r="D35" s="687"/>
      <c r="E35" s="687"/>
      <c r="F35" s="687"/>
      <c r="I35" s="48" t="s">
        <v>161</v>
      </c>
    </row>
    <row r="36" spans="1:11" x14ac:dyDescent="0.2">
      <c r="A36" s="687"/>
      <c r="B36" s="687"/>
      <c r="C36" s="687"/>
      <c r="D36" s="687"/>
      <c r="E36" s="687"/>
      <c r="F36" s="687"/>
    </row>
    <row r="37" spans="1:11" x14ac:dyDescent="0.2">
      <c r="A37" s="687"/>
      <c r="B37" s="687"/>
      <c r="C37" s="687"/>
      <c r="D37" s="687"/>
      <c r="E37" s="687"/>
      <c r="F37" s="687"/>
    </row>
    <row r="38" spans="1:11" x14ac:dyDescent="0.2">
      <c r="A38" s="687"/>
      <c r="B38" s="687"/>
      <c r="C38" s="687"/>
      <c r="D38" s="687"/>
      <c r="E38" s="687"/>
      <c r="F38" s="687"/>
    </row>
    <row r="39" spans="1:11" x14ac:dyDescent="0.2">
      <c r="A39" s="687"/>
      <c r="B39" s="687"/>
      <c r="C39" s="687"/>
      <c r="D39" s="687"/>
      <c r="E39" s="687"/>
      <c r="F39" s="687"/>
    </row>
    <row r="40" spans="1:11" x14ac:dyDescent="0.2">
      <c r="A40" s="687"/>
      <c r="B40" s="687"/>
      <c r="C40" s="687"/>
      <c r="D40" s="687"/>
      <c r="E40" s="687"/>
      <c r="F40" s="687"/>
    </row>
    <row r="41" spans="1:11" x14ac:dyDescent="0.2">
      <c r="A41" s="687"/>
      <c r="B41" s="687"/>
      <c r="C41" s="687"/>
      <c r="D41" s="687"/>
      <c r="E41" s="687"/>
      <c r="F41" s="687"/>
    </row>
    <row r="42" spans="1:11" x14ac:dyDescent="0.2">
      <c r="A42" s="687"/>
      <c r="B42" s="687"/>
      <c r="C42" s="687"/>
      <c r="D42" s="687"/>
      <c r="E42" s="687"/>
      <c r="F42" s="687"/>
    </row>
    <row r="44" spans="1:11" x14ac:dyDescent="0.2">
      <c r="K44" t="s">
        <v>3629</v>
      </c>
    </row>
  </sheetData>
  <hyperlinks>
    <hyperlink ref="I34" r:id="rId1"/>
    <hyperlink ref="I35" r:id="rId2"/>
    <hyperlink ref="H1" location="Index!A1" display="Return to Index"/>
  </hyperlinks>
  <pageMargins left="0.7" right="0.7" top="0.75" bottom="0.75" header="0.3" footer="0.3"/>
  <pageSetup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workbookViewId="0">
      <selection activeCell="H1" sqref="H1"/>
    </sheetView>
  </sheetViews>
  <sheetFormatPr defaultRowHeight="12.75" x14ac:dyDescent="0.2"/>
  <cols>
    <col min="6" max="6" width="16.140625" bestFit="1" customWidth="1"/>
    <col min="7" max="7" width="15.140625" bestFit="1" customWidth="1"/>
    <col min="8" max="8" width="14.5703125" customWidth="1"/>
    <col min="9" max="9" width="16.140625" bestFit="1" customWidth="1"/>
    <col min="10" max="10" width="13.5703125" customWidth="1"/>
    <col min="12" max="12" width="15.140625" bestFit="1" customWidth="1"/>
    <col min="13" max="13" width="15.7109375" customWidth="1"/>
    <col min="14" max="14" width="17.42578125" customWidth="1"/>
    <col min="17" max="17" width="10.42578125" bestFit="1" customWidth="1"/>
  </cols>
  <sheetData>
    <row r="1" spans="1:17" x14ac:dyDescent="0.2">
      <c r="A1" s="32" t="s">
        <v>162</v>
      </c>
      <c r="B1">
        <v>3</v>
      </c>
      <c r="H1" s="48" t="s">
        <v>3630</v>
      </c>
    </row>
    <row r="2" spans="1:17" s="231" customFormat="1" x14ac:dyDescent="0.2">
      <c r="A2" s="32" t="s">
        <v>633</v>
      </c>
      <c r="B2" s="32" t="s">
        <v>3524</v>
      </c>
    </row>
    <row r="3" spans="1:17" s="231" customFormat="1" x14ac:dyDescent="0.2">
      <c r="A3" s="32"/>
      <c r="B3" s="32"/>
    </row>
    <row r="4" spans="1:17" s="231" customFormat="1" ht="66" customHeight="1" x14ac:dyDescent="0.2">
      <c r="D4" s="112"/>
      <c r="E4" s="112"/>
      <c r="F4" s="112"/>
      <c r="G4" s="112"/>
      <c r="H4" s="112"/>
      <c r="I4" s="112"/>
      <c r="J4" s="112"/>
      <c r="K4" s="112"/>
      <c r="Q4" s="148"/>
    </row>
    <row r="5" spans="1:17" s="231" customFormat="1" ht="66" customHeight="1" x14ac:dyDescent="0.2">
      <c r="D5" s="783" t="s">
        <v>3392</v>
      </c>
      <c r="E5" s="783"/>
      <c r="F5" s="783" t="s">
        <v>3393</v>
      </c>
      <c r="G5" s="783"/>
      <c r="H5" s="783"/>
      <c r="I5" s="783" t="s">
        <v>3394</v>
      </c>
      <c r="J5" s="783"/>
      <c r="K5" s="783"/>
      <c r="Q5" s="148"/>
    </row>
    <row r="6" spans="1:17" s="231" customFormat="1" ht="52.15" customHeight="1" x14ac:dyDescent="0.2">
      <c r="D6" s="792" t="s">
        <v>3402</v>
      </c>
      <c r="E6" s="793"/>
      <c r="F6" s="785" t="s">
        <v>3413</v>
      </c>
      <c r="G6" s="785"/>
      <c r="H6" s="785"/>
      <c r="I6" s="785" t="s">
        <v>3405</v>
      </c>
      <c r="J6" s="785"/>
      <c r="K6" s="785"/>
      <c r="L6" s="32"/>
    </row>
    <row r="7" spans="1:17" s="231" customFormat="1" x14ac:dyDescent="0.2"/>
    <row r="8" spans="1:17" s="231" customFormat="1" x14ac:dyDescent="0.2"/>
    <row r="9" spans="1:17" s="231" customFormat="1" x14ac:dyDescent="0.2"/>
    <row r="10" spans="1:17" s="231" customFormat="1" x14ac:dyDescent="0.2">
      <c r="D10" s="32" t="s">
        <v>3407</v>
      </c>
      <c r="G10" s="235">
        <f>161000000/G15*0.01</f>
        <v>5.8293103448275867E-2</v>
      </c>
      <c r="I10" s="48" t="s">
        <v>3554</v>
      </c>
    </row>
    <row r="12" spans="1:17" s="231" customFormat="1" x14ac:dyDescent="0.2">
      <c r="D12" s="32" t="s">
        <v>3422</v>
      </c>
      <c r="G12" s="57">
        <v>58000000</v>
      </c>
      <c r="I12" s="231" t="s">
        <v>3357</v>
      </c>
    </row>
    <row r="13" spans="1:17" s="231" customFormat="1" x14ac:dyDescent="0.2">
      <c r="G13" s="59">
        <f>1200/G110</f>
        <v>2.1275841282224036E-2</v>
      </c>
      <c r="I13" s="32" t="s">
        <v>3423</v>
      </c>
    </row>
    <row r="14" spans="1:17" s="231" customFormat="1" x14ac:dyDescent="0.2"/>
    <row r="15" spans="1:17" s="231" customFormat="1" x14ac:dyDescent="0.2">
      <c r="D15" s="32" t="s">
        <v>3408</v>
      </c>
      <c r="G15" s="232">
        <f>1/2.1*G12</f>
        <v>27619047.619047616</v>
      </c>
      <c r="I15" s="32" t="s">
        <v>3406</v>
      </c>
    </row>
    <row r="16" spans="1:17" s="231" customFormat="1" x14ac:dyDescent="0.2"/>
    <row r="17" spans="4:17" s="231" customFormat="1" x14ac:dyDescent="0.2"/>
    <row r="18" spans="4:17" s="231" customFormat="1" x14ac:dyDescent="0.2">
      <c r="D18" s="32" t="s">
        <v>3409</v>
      </c>
      <c r="G18" s="57">
        <v>56402</v>
      </c>
      <c r="I18" s="231" t="s">
        <v>3351</v>
      </c>
    </row>
    <row r="19" spans="4:17" s="231" customFormat="1" x14ac:dyDescent="0.2">
      <c r="G19" s="231">
        <v>5</v>
      </c>
      <c r="I19" s="32" t="s">
        <v>3410</v>
      </c>
    </row>
    <row r="20" spans="4:17" s="231" customFormat="1" x14ac:dyDescent="0.2">
      <c r="I20" s="48" t="s">
        <v>3555</v>
      </c>
    </row>
    <row r="21" spans="4:17" s="231" customFormat="1" x14ac:dyDescent="0.2"/>
    <row r="22" spans="4:17" s="231" customFormat="1" x14ac:dyDescent="0.2"/>
    <row r="23" spans="4:17" s="231" customFormat="1" x14ac:dyDescent="0.2">
      <c r="G23" s="57">
        <f>+G18*1.06</f>
        <v>59786.12</v>
      </c>
      <c r="I23" s="231" t="s">
        <v>3411</v>
      </c>
    </row>
    <row r="24" spans="4:17" s="231" customFormat="1" x14ac:dyDescent="0.2">
      <c r="G24" s="231">
        <v>2</v>
      </c>
      <c r="I24" s="231" t="s">
        <v>3412</v>
      </c>
    </row>
    <row r="25" spans="4:17" s="231" customFormat="1" x14ac:dyDescent="0.2"/>
    <row r="26" spans="4:17" s="231" customFormat="1" x14ac:dyDescent="0.2">
      <c r="D26" s="790" t="s">
        <v>3392</v>
      </c>
      <c r="E26" s="790"/>
      <c r="F26" s="790" t="s">
        <v>3393</v>
      </c>
      <c r="G26" s="790"/>
      <c r="H26" s="790"/>
      <c r="I26" s="790" t="s">
        <v>3394</v>
      </c>
      <c r="J26" s="790"/>
      <c r="K26" s="790"/>
      <c r="L26" s="231" t="s">
        <v>135</v>
      </c>
    </row>
    <row r="27" spans="4:17" s="231" customFormat="1" ht="46.15" customHeight="1" x14ac:dyDescent="0.2">
      <c r="D27" s="786" t="s">
        <v>3397</v>
      </c>
      <c r="E27" s="786"/>
      <c r="F27" s="785" t="s">
        <v>3404</v>
      </c>
      <c r="G27" s="786"/>
      <c r="H27" s="786"/>
      <c r="I27" s="786" t="s">
        <v>3395</v>
      </c>
      <c r="J27" s="786"/>
      <c r="K27" s="786"/>
      <c r="L27" s="231" t="s">
        <v>3396</v>
      </c>
      <c r="Q27" s="148"/>
    </row>
    <row r="28" spans="4:17" s="231" customFormat="1" ht="66" customHeight="1" x14ac:dyDescent="0.2">
      <c r="D28" s="112"/>
      <c r="E28" s="112"/>
      <c r="F28" s="112"/>
      <c r="G28" s="112"/>
      <c r="H28" s="112"/>
      <c r="I28" s="112"/>
      <c r="J28" s="112"/>
      <c r="K28" s="112"/>
      <c r="Q28" s="148"/>
    </row>
    <row r="29" spans="4:17" s="231" customFormat="1" x14ac:dyDescent="0.2">
      <c r="D29" s="32" t="s">
        <v>3429</v>
      </c>
      <c r="G29" s="310">
        <f>+M54</f>
        <v>486894.60493862157</v>
      </c>
      <c r="I29" s="48" t="s">
        <v>3556</v>
      </c>
    </row>
    <row r="30" spans="4:17" s="231" customFormat="1" x14ac:dyDescent="0.2">
      <c r="D30" s="32" t="s">
        <v>3403</v>
      </c>
      <c r="G30" s="233">
        <f>127000000/G29</f>
        <v>260.83673696899916</v>
      </c>
      <c r="I30" s="231" t="s">
        <v>3380</v>
      </c>
    </row>
    <row r="31" spans="4:17" s="231" customFormat="1" x14ac:dyDescent="0.2">
      <c r="K31" s="57"/>
      <c r="L31" s="57"/>
    </row>
    <row r="32" spans="4:17" s="231" customFormat="1" x14ac:dyDescent="0.2">
      <c r="I32" t="s">
        <v>3371</v>
      </c>
      <c r="J32"/>
      <c r="K32"/>
      <c r="L32"/>
      <c r="M32" s="57"/>
      <c r="N32" s="57"/>
      <c r="O32"/>
      <c r="P32"/>
      <c r="Q32"/>
    </row>
    <row r="33" spans="7:17" s="231" customFormat="1" x14ac:dyDescent="0.2">
      <c r="I33">
        <v>31211</v>
      </c>
      <c r="J33" t="s">
        <v>688</v>
      </c>
      <c r="K33" t="s">
        <v>3372</v>
      </c>
      <c r="L33">
        <v>8.06</v>
      </c>
      <c r="M33" s="57">
        <v>4000000</v>
      </c>
      <c r="N33" s="57">
        <f t="shared" ref="N33:N41" si="0">+M33/L33</f>
        <v>496277.91563275433</v>
      </c>
      <c r="O33" t="s">
        <v>3370</v>
      </c>
      <c r="P33"/>
      <c r="Q33"/>
    </row>
    <row r="34" spans="7:17" s="231" customFormat="1" x14ac:dyDescent="0.2">
      <c r="I34" s="231">
        <v>33876</v>
      </c>
      <c r="J34" s="231" t="s">
        <v>688</v>
      </c>
      <c r="K34" s="231" t="s">
        <v>3372</v>
      </c>
      <c r="L34" s="231">
        <v>2.5</v>
      </c>
      <c r="M34" s="57">
        <v>3000000</v>
      </c>
      <c r="N34" s="57">
        <f t="shared" si="0"/>
        <v>1200000</v>
      </c>
      <c r="O34" s="231" t="s">
        <v>3370</v>
      </c>
    </row>
    <row r="35" spans="7:17" s="231" customFormat="1" x14ac:dyDescent="0.2">
      <c r="I35" s="231">
        <v>21007</v>
      </c>
      <c r="J35" s="231" t="s">
        <v>691</v>
      </c>
      <c r="K35" s="231" t="s">
        <v>3373</v>
      </c>
      <c r="L35" s="231">
        <v>5.97</v>
      </c>
      <c r="M35" s="57">
        <v>10376500</v>
      </c>
      <c r="N35" s="57">
        <f t="shared" si="0"/>
        <v>1738107.2026800672</v>
      </c>
      <c r="O35" s="231" t="s">
        <v>3374</v>
      </c>
    </row>
    <row r="36" spans="7:17" s="231" customFormat="1" x14ac:dyDescent="0.2">
      <c r="I36" s="231">
        <v>29757</v>
      </c>
      <c r="J36" s="231" t="s">
        <v>708</v>
      </c>
      <c r="K36" s="231" t="s">
        <v>3372</v>
      </c>
      <c r="L36" s="231">
        <v>0.77</v>
      </c>
      <c r="M36" s="57">
        <v>700000</v>
      </c>
      <c r="N36" s="57">
        <f t="shared" si="0"/>
        <v>909090.90909090906</v>
      </c>
      <c r="O36" s="231" t="s">
        <v>3370</v>
      </c>
    </row>
    <row r="37" spans="7:17" s="231" customFormat="1" x14ac:dyDescent="0.2">
      <c r="I37" s="231">
        <v>31100</v>
      </c>
      <c r="J37" s="231" t="s">
        <v>665</v>
      </c>
      <c r="K37" s="231" t="s">
        <v>3375</v>
      </c>
      <c r="L37" s="231">
        <v>4</v>
      </c>
      <c r="M37" s="57">
        <f>50000+50000</f>
        <v>100000</v>
      </c>
      <c r="N37" s="57">
        <f t="shared" si="0"/>
        <v>25000</v>
      </c>
      <c r="O37" s="231" t="s">
        <v>3368</v>
      </c>
    </row>
    <row r="38" spans="7:17" x14ac:dyDescent="0.2">
      <c r="G38" s="231"/>
      <c r="H38" s="231"/>
      <c r="I38" s="231">
        <v>31065</v>
      </c>
      <c r="J38" s="231" t="s">
        <v>667</v>
      </c>
      <c r="K38" s="231" t="s">
        <v>3376</v>
      </c>
      <c r="L38" s="231">
        <v>5</v>
      </c>
      <c r="M38" s="57">
        <v>3500000</v>
      </c>
      <c r="N38" s="57">
        <f t="shared" si="0"/>
        <v>700000</v>
      </c>
      <c r="O38" s="231" t="s">
        <v>3370</v>
      </c>
    </row>
    <row r="39" spans="7:17" s="231" customFormat="1" x14ac:dyDescent="0.2">
      <c r="I39" s="231">
        <v>27081</v>
      </c>
      <c r="J39" s="231" t="s">
        <v>688</v>
      </c>
      <c r="K39" s="231" t="s">
        <v>3372</v>
      </c>
      <c r="L39" s="231">
        <v>6.5</v>
      </c>
      <c r="M39" s="57">
        <v>6750000</v>
      </c>
      <c r="N39" s="57">
        <f t="shared" si="0"/>
        <v>1038461.5384615385</v>
      </c>
      <c r="O39" s="231" t="s">
        <v>3370</v>
      </c>
    </row>
    <row r="40" spans="7:17" s="231" customFormat="1" x14ac:dyDescent="0.2">
      <c r="I40" s="231">
        <v>29652</v>
      </c>
      <c r="J40" s="231" t="s">
        <v>122</v>
      </c>
      <c r="K40" s="231" t="s">
        <v>3369</v>
      </c>
      <c r="L40" s="231">
        <v>6.25</v>
      </c>
      <c r="M40" s="57">
        <v>5200000</v>
      </c>
      <c r="N40" s="57">
        <f t="shared" si="0"/>
        <v>832000</v>
      </c>
      <c r="O40" s="231" t="s">
        <v>3370</v>
      </c>
    </row>
    <row r="41" spans="7:17" s="231" customFormat="1" x14ac:dyDescent="0.2">
      <c r="I41" s="231">
        <v>27935</v>
      </c>
      <c r="J41" s="231" t="s">
        <v>709</v>
      </c>
      <c r="K41" s="231" t="s">
        <v>3377</v>
      </c>
      <c r="L41" s="231">
        <v>6.2</v>
      </c>
      <c r="M41" s="57">
        <v>9306894</v>
      </c>
      <c r="N41" s="57">
        <f t="shared" si="0"/>
        <v>1501111.935483871</v>
      </c>
      <c r="O41" s="231" t="s">
        <v>3378</v>
      </c>
    </row>
    <row r="42" spans="7:17" s="231" customFormat="1" x14ac:dyDescent="0.2">
      <c r="M42" s="57"/>
      <c r="N42" s="57"/>
    </row>
    <row r="43" spans="7:17" s="231" customFormat="1" x14ac:dyDescent="0.2">
      <c r="I43" s="32" t="s">
        <v>3428</v>
      </c>
      <c r="M43" s="57"/>
      <c r="N43" s="57"/>
    </row>
    <row r="44" spans="7:17" s="231" customFormat="1" x14ac:dyDescent="0.2">
      <c r="J44" s="231" t="s">
        <v>3384</v>
      </c>
      <c r="M44" s="57"/>
      <c r="N44" s="57">
        <f>MEDIAN(N33:N34,N36,N38:N40)</f>
        <v>870545.45454545459</v>
      </c>
    </row>
    <row r="45" spans="7:17" s="231" customFormat="1" x14ac:dyDescent="0.2">
      <c r="J45" s="231" t="s">
        <v>3387</v>
      </c>
      <c r="M45" s="57"/>
      <c r="N45" s="57">
        <f>MEDIAN(N37)</f>
        <v>25000</v>
      </c>
    </row>
    <row r="46" spans="7:17" s="231" customFormat="1" x14ac:dyDescent="0.2">
      <c r="J46" s="231" t="s">
        <v>3385</v>
      </c>
      <c r="M46" s="57"/>
      <c r="N46" s="57">
        <f>SUM(N44:N45)*0.15</f>
        <v>134331.81818181818</v>
      </c>
    </row>
    <row r="47" spans="7:17" s="231" customFormat="1" x14ac:dyDescent="0.2">
      <c r="J47" s="231" t="s">
        <v>3386</v>
      </c>
      <c r="M47" s="57"/>
      <c r="N47" s="57">
        <f>SUM(N44:N46)</f>
        <v>1029877.2727272727</v>
      </c>
    </row>
    <row r="48" spans="7:17" s="231" customFormat="1" x14ac:dyDescent="0.2">
      <c r="M48" s="57"/>
      <c r="N48" s="57"/>
    </row>
    <row r="49" spans="4:14" s="231" customFormat="1" x14ac:dyDescent="0.2">
      <c r="K49" s="57"/>
    </row>
    <row r="50" spans="4:14" s="231" customFormat="1" x14ac:dyDescent="0.2">
      <c r="K50" s="57"/>
    </row>
    <row r="51" spans="4:14" s="231" customFormat="1" x14ac:dyDescent="0.2">
      <c r="I51" s="231" t="s">
        <v>3379</v>
      </c>
      <c r="M51" s="57" t="s">
        <v>3388</v>
      </c>
    </row>
    <row r="52" spans="4:14" s="231" customFormat="1" x14ac:dyDescent="0.2">
      <c r="I52" s="231" t="s">
        <v>3381</v>
      </c>
      <c r="M52" s="57"/>
    </row>
    <row r="53" spans="4:14" s="231" customFormat="1" x14ac:dyDescent="0.2">
      <c r="I53" s="231" t="s">
        <v>3382</v>
      </c>
      <c r="J53" s="57">
        <v>371940000</v>
      </c>
      <c r="K53" s="225">
        <f>+J53/SUM(J53:J54)</f>
        <v>0.52723045955830239</v>
      </c>
      <c r="M53" s="57"/>
    </row>
    <row r="54" spans="4:14" s="231" customFormat="1" x14ac:dyDescent="0.2">
      <c r="I54" s="231" t="s">
        <v>3383</v>
      </c>
      <c r="J54" s="57">
        <v>333520000</v>
      </c>
      <c r="K54" s="225">
        <f>+J54/SUM(J53:J54)</f>
        <v>0.47276954044169761</v>
      </c>
      <c r="M54" s="57">
        <f>+N47*K54</f>
        <v>486894.60493862157</v>
      </c>
    </row>
    <row r="55" spans="4:14" s="231" customFormat="1" x14ac:dyDescent="0.2">
      <c r="L55" s="57"/>
      <c r="M55" s="57"/>
    </row>
    <row r="56" spans="4:14" s="231" customFormat="1" x14ac:dyDescent="0.2">
      <c r="L56" s="57"/>
      <c r="M56" s="57"/>
    </row>
    <row r="57" spans="4:14" s="231" customFormat="1" x14ac:dyDescent="0.2">
      <c r="L57" s="57"/>
      <c r="M57" s="57"/>
    </row>
    <row r="58" spans="4:14" s="231" customFormat="1" x14ac:dyDescent="0.2">
      <c r="D58" s="783" t="s">
        <v>3392</v>
      </c>
      <c r="E58" s="783"/>
      <c r="F58" s="783" t="s">
        <v>3393</v>
      </c>
      <c r="G58" s="783"/>
      <c r="H58" s="783"/>
      <c r="I58" s="783" t="s">
        <v>3394</v>
      </c>
      <c r="J58" s="783"/>
      <c r="K58" s="783"/>
    </row>
    <row r="59" spans="4:14" s="231" customFormat="1" ht="51.6" customHeight="1" x14ac:dyDescent="0.2">
      <c r="D59" s="787" t="s">
        <v>3439</v>
      </c>
      <c r="E59" s="788"/>
      <c r="F59" s="785" t="s">
        <v>3440</v>
      </c>
      <c r="G59" s="785"/>
      <c r="H59" s="785"/>
      <c r="I59" s="785" t="s">
        <v>3442</v>
      </c>
      <c r="J59" s="786"/>
      <c r="K59" s="786"/>
      <c r="L59" s="782" t="s">
        <v>3441</v>
      </c>
      <c r="M59" s="753"/>
      <c r="N59" s="753"/>
    </row>
    <row r="60" spans="4:14" x14ac:dyDescent="0.2">
      <c r="D60" s="32"/>
    </row>
    <row r="61" spans="4:14" x14ac:dyDescent="0.2">
      <c r="D61" s="32" t="s">
        <v>3438</v>
      </c>
      <c r="H61" s="57">
        <v>898000000</v>
      </c>
    </row>
    <row r="62" spans="4:14" x14ac:dyDescent="0.2">
      <c r="H62" s="57">
        <v>16100000</v>
      </c>
      <c r="J62" t="s">
        <v>3352</v>
      </c>
    </row>
    <row r="63" spans="4:14" x14ac:dyDescent="0.2">
      <c r="H63" s="57"/>
      <c r="J63" t="s">
        <v>3354</v>
      </c>
    </row>
    <row r="64" spans="4:14" x14ac:dyDescent="0.2">
      <c r="H64" s="57"/>
    </row>
    <row r="65" spans="4:14" x14ac:dyDescent="0.2">
      <c r="H65" s="57">
        <v>28400000</v>
      </c>
      <c r="J65" t="s">
        <v>3353</v>
      </c>
    </row>
    <row r="66" spans="4:14" x14ac:dyDescent="0.2">
      <c r="H66" s="57"/>
      <c r="J66" s="32" t="s">
        <v>3557</v>
      </c>
    </row>
    <row r="67" spans="4:14" x14ac:dyDescent="0.2">
      <c r="H67" s="57"/>
    </row>
    <row r="68" spans="4:14" x14ac:dyDescent="0.2">
      <c r="H68" s="57">
        <f>+H65+H62</f>
        <v>44500000</v>
      </c>
      <c r="J68" t="s">
        <v>3356</v>
      </c>
    </row>
    <row r="69" spans="4:14" x14ac:dyDescent="0.2">
      <c r="H69" s="57"/>
    </row>
    <row r="70" spans="4:14" x14ac:dyDescent="0.2">
      <c r="H70" s="57"/>
    </row>
    <row r="71" spans="4:14" x14ac:dyDescent="0.2">
      <c r="H71" s="232">
        <f>+H68*2</f>
        <v>89000000</v>
      </c>
      <c r="J71" s="32" t="s">
        <v>3437</v>
      </c>
    </row>
    <row r="72" spans="4:14" x14ac:dyDescent="0.2">
      <c r="J72" t="s">
        <v>3355</v>
      </c>
    </row>
    <row r="73" spans="4:14" s="231" customFormat="1" x14ac:dyDescent="0.2"/>
    <row r="74" spans="4:14" s="231" customFormat="1" x14ac:dyDescent="0.2"/>
    <row r="75" spans="4:14" s="231" customFormat="1" x14ac:dyDescent="0.2">
      <c r="D75" s="783" t="s">
        <v>3392</v>
      </c>
      <c r="E75" s="783"/>
      <c r="F75" s="783" t="s">
        <v>3393</v>
      </c>
      <c r="G75" s="783"/>
      <c r="H75" s="783"/>
      <c r="I75" s="783" t="s">
        <v>3394</v>
      </c>
      <c r="J75" s="783"/>
      <c r="K75" s="783"/>
    </row>
    <row r="76" spans="4:14" s="231" customFormat="1" ht="51.6" customHeight="1" x14ac:dyDescent="0.2">
      <c r="D76" s="784" t="s">
        <v>3435</v>
      </c>
      <c r="E76" s="784"/>
      <c r="F76" s="785" t="s">
        <v>3424</v>
      </c>
      <c r="G76" s="785"/>
      <c r="H76" s="785"/>
      <c r="I76" s="785" t="s">
        <v>3416</v>
      </c>
      <c r="J76" s="786"/>
      <c r="K76" s="786"/>
      <c r="L76" s="782" t="s">
        <v>3558</v>
      </c>
      <c r="M76" s="753"/>
      <c r="N76" s="753"/>
    </row>
    <row r="77" spans="4:14" s="231" customFormat="1" x14ac:dyDescent="0.2"/>
    <row r="78" spans="4:14" s="231" customFormat="1" x14ac:dyDescent="0.2"/>
    <row r="79" spans="4:14" s="231" customFormat="1" x14ac:dyDescent="0.2">
      <c r="D79" s="32" t="s">
        <v>3430</v>
      </c>
      <c r="G79" s="232">
        <f>57000000/G83</f>
        <v>22763.260504645968</v>
      </c>
      <c r="H79" s="32"/>
    </row>
    <row r="80" spans="4:14" s="231" customFormat="1" x14ac:dyDescent="0.2">
      <c r="K80" s="48" t="s">
        <v>3559</v>
      </c>
    </row>
    <row r="81" spans="2:14" s="231" customFormat="1" x14ac:dyDescent="0.2">
      <c r="G81" s="57">
        <f>62854531+14685248+8709201</f>
        <v>86248980</v>
      </c>
      <c r="H81" s="32" t="s">
        <v>3418</v>
      </c>
      <c r="K81" s="32" t="s">
        <v>3421</v>
      </c>
    </row>
    <row r="82" spans="2:14" s="231" customFormat="1" x14ac:dyDescent="0.2">
      <c r="G82" s="148">
        <f>14831+17605+2008</f>
        <v>34444</v>
      </c>
      <c r="H82" s="32" t="s">
        <v>3417</v>
      </c>
      <c r="K82" s="32" t="s">
        <v>3419</v>
      </c>
    </row>
    <row r="83" spans="2:14" s="231" customFormat="1" x14ac:dyDescent="0.2">
      <c r="G83" s="232">
        <f>+G81/G82</f>
        <v>2504.0349552897455</v>
      </c>
      <c r="H83" s="32" t="s">
        <v>3420</v>
      </c>
    </row>
    <row r="84" spans="2:14" s="231" customFormat="1" x14ac:dyDescent="0.2"/>
    <row r="85" spans="2:14" s="231" customFormat="1" x14ac:dyDescent="0.2"/>
    <row r="86" spans="2:14" s="231" customFormat="1" x14ac:dyDescent="0.2"/>
    <row r="87" spans="2:14" s="231" customFormat="1" x14ac:dyDescent="0.2"/>
    <row r="88" spans="2:14" s="231" customFormat="1" x14ac:dyDescent="0.2"/>
    <row r="89" spans="2:14" s="231" customFormat="1" x14ac:dyDescent="0.2"/>
    <row r="90" spans="2:14" s="231" customFormat="1" x14ac:dyDescent="0.2"/>
    <row r="91" spans="2:14" s="231" customFormat="1" x14ac:dyDescent="0.2">
      <c r="D91" s="783" t="s">
        <v>3392</v>
      </c>
      <c r="E91" s="783"/>
      <c r="F91" s="783" t="s">
        <v>3393</v>
      </c>
      <c r="G91" s="783"/>
      <c r="H91" s="783"/>
      <c r="I91" s="783" t="s">
        <v>3394</v>
      </c>
      <c r="J91" s="783"/>
      <c r="K91" s="783"/>
    </row>
    <row r="92" spans="2:14" s="231" customFormat="1" ht="75" customHeight="1" x14ac:dyDescent="0.2">
      <c r="D92" s="784" t="s">
        <v>3436</v>
      </c>
      <c r="E92" s="784"/>
      <c r="F92" s="785" t="s">
        <v>3434</v>
      </c>
      <c r="G92" s="785"/>
      <c r="H92" s="785"/>
      <c r="I92" s="785" t="s">
        <v>3443</v>
      </c>
      <c r="J92" s="786"/>
      <c r="K92" s="786"/>
      <c r="L92" s="782"/>
      <c r="M92" s="753"/>
      <c r="N92" s="753"/>
    </row>
    <row r="93" spans="2:14" s="231" customFormat="1" x14ac:dyDescent="0.2"/>
    <row r="94" spans="2:14" x14ac:dyDescent="0.2">
      <c r="B94" s="231"/>
      <c r="C94" s="231"/>
      <c r="D94" s="32" t="s">
        <v>3433</v>
      </c>
      <c r="E94" s="231"/>
      <c r="G94" s="233">
        <f>30000000/G102</f>
        <v>2220.7792207792209</v>
      </c>
    </row>
    <row r="95" spans="2:14" s="231" customFormat="1" x14ac:dyDescent="0.2"/>
    <row r="96" spans="2:14" s="231" customFormat="1" x14ac:dyDescent="0.2">
      <c r="G96" s="57">
        <v>22000</v>
      </c>
      <c r="H96"/>
      <c r="I96" s="32" t="s">
        <v>3365</v>
      </c>
      <c r="K96" s="48" t="s">
        <v>3560</v>
      </c>
    </row>
    <row r="97" spans="2:14" s="231" customFormat="1" x14ac:dyDescent="0.2"/>
    <row r="98" spans="2:14" s="231" customFormat="1" x14ac:dyDescent="0.2"/>
    <row r="99" spans="2:14" s="231" customFormat="1" x14ac:dyDescent="0.2">
      <c r="G99" s="225">
        <v>0.61403508771929827</v>
      </c>
      <c r="I99" s="231" t="s">
        <v>3366</v>
      </c>
    </row>
    <row r="100" spans="2:14" s="231" customFormat="1" x14ac:dyDescent="0.2">
      <c r="I100" s="32" t="s">
        <v>3367</v>
      </c>
    </row>
    <row r="101" spans="2:14" s="231" customFormat="1" x14ac:dyDescent="0.2"/>
    <row r="102" spans="2:14" s="231" customFormat="1" x14ac:dyDescent="0.2">
      <c r="G102" s="232">
        <f>+G96*G99</f>
        <v>13508.771929824561</v>
      </c>
    </row>
    <row r="103" spans="2:14" s="231" customFormat="1" x14ac:dyDescent="0.2"/>
    <row r="104" spans="2:14" s="231" customFormat="1" x14ac:dyDescent="0.2">
      <c r="D104" s="783" t="s">
        <v>3392</v>
      </c>
      <c r="E104" s="783"/>
      <c r="F104" s="783" t="s">
        <v>3393</v>
      </c>
      <c r="G104" s="783"/>
      <c r="H104" s="783"/>
      <c r="I104" s="783" t="s">
        <v>3394</v>
      </c>
      <c r="J104" s="783"/>
      <c r="K104" s="783"/>
    </row>
    <row r="105" spans="2:14" s="231" customFormat="1" ht="76.900000000000006" customHeight="1" x14ac:dyDescent="0.2">
      <c r="D105" s="784" t="s">
        <v>3426</v>
      </c>
      <c r="E105" s="784"/>
      <c r="F105" s="785" t="s">
        <v>3432</v>
      </c>
      <c r="G105" s="785"/>
      <c r="H105" s="785"/>
      <c r="I105" s="785" t="s">
        <v>3425</v>
      </c>
      <c r="J105" s="786"/>
      <c r="K105" s="786"/>
      <c r="L105" s="782"/>
      <c r="M105" s="753"/>
      <c r="N105" s="753"/>
    </row>
    <row r="106" spans="2:14" s="231" customFormat="1" x14ac:dyDescent="0.2"/>
    <row r="107" spans="2:14" x14ac:dyDescent="0.2">
      <c r="B107" s="231"/>
      <c r="C107" s="231"/>
    </row>
    <row r="108" spans="2:14" x14ac:dyDescent="0.2">
      <c r="B108" s="231"/>
      <c r="C108" s="231"/>
    </row>
    <row r="109" spans="2:14" s="231" customFormat="1" x14ac:dyDescent="0.2">
      <c r="D109" s="32" t="s">
        <v>3431</v>
      </c>
      <c r="G109" s="233">
        <f>25000000/G114</f>
        <v>933.77243806112699</v>
      </c>
    </row>
    <row r="110" spans="2:14" x14ac:dyDescent="0.2">
      <c r="B110" s="231"/>
      <c r="C110" s="231"/>
      <c r="D110" s="32" t="s">
        <v>3427</v>
      </c>
      <c r="G110" s="105">
        <v>56402</v>
      </c>
      <c r="I110" t="s">
        <v>3351</v>
      </c>
    </row>
    <row r="111" spans="2:14" s="231" customFormat="1" x14ac:dyDescent="0.2">
      <c r="I111" s="48" t="s">
        <v>3555</v>
      </c>
    </row>
    <row r="112" spans="2:14" s="231" customFormat="1" x14ac:dyDescent="0.2"/>
    <row r="113" spans="4:13" s="231" customFormat="1" x14ac:dyDescent="0.2"/>
    <row r="114" spans="4:13" s="231" customFormat="1" x14ac:dyDescent="0.2">
      <c r="G114" s="232">
        <f>+G110*M121</f>
        <v>26773.118354092436</v>
      </c>
      <c r="I114" s="32" t="s">
        <v>3358</v>
      </c>
    </row>
    <row r="115" spans="4:13" s="231" customFormat="1" x14ac:dyDescent="0.2">
      <c r="J115" s="32" t="s">
        <v>3359</v>
      </c>
      <c r="M115" s="105">
        <v>7299795649</v>
      </c>
    </row>
    <row r="116" spans="4:13" s="231" customFormat="1" x14ac:dyDescent="0.2">
      <c r="J116" s="32" t="s">
        <v>3360</v>
      </c>
    </row>
    <row r="117" spans="4:13" s="231" customFormat="1" x14ac:dyDescent="0.2">
      <c r="K117" s="32" t="s">
        <v>3361</v>
      </c>
      <c r="M117" s="105">
        <v>2911089693</v>
      </c>
    </row>
    <row r="118" spans="4:13" s="231" customFormat="1" x14ac:dyDescent="0.2">
      <c r="K118" s="32" t="s">
        <v>3362</v>
      </c>
      <c r="M118" s="105">
        <v>459257156</v>
      </c>
    </row>
    <row r="119" spans="4:13" s="231" customFormat="1" x14ac:dyDescent="0.2">
      <c r="K119" s="32" t="s">
        <v>223</v>
      </c>
      <c r="M119" s="105">
        <f>11001836+83746398</f>
        <v>94748234</v>
      </c>
    </row>
    <row r="120" spans="4:13" s="231" customFormat="1" x14ac:dyDescent="0.2">
      <c r="K120" s="32" t="s">
        <v>3363</v>
      </c>
      <c r="M120" s="57">
        <f>SUM(M117:M119)</f>
        <v>3465095083</v>
      </c>
    </row>
    <row r="121" spans="4:13" s="231" customFormat="1" x14ac:dyDescent="0.2">
      <c r="I121" s="32" t="s">
        <v>3364</v>
      </c>
      <c r="M121" s="225">
        <f>+M120/M115</f>
        <v>0.47468384727655821</v>
      </c>
    </row>
    <row r="122" spans="4:13" s="231" customFormat="1" x14ac:dyDescent="0.2"/>
    <row r="123" spans="4:13" s="231" customFormat="1" x14ac:dyDescent="0.2">
      <c r="I123" s="48" t="s">
        <v>3561</v>
      </c>
    </row>
    <row r="124" spans="4:13" s="231" customFormat="1" x14ac:dyDescent="0.2"/>
    <row r="125" spans="4:13" s="231" customFormat="1" x14ac:dyDescent="0.2">
      <c r="I125" s="231" t="s">
        <v>3398</v>
      </c>
    </row>
    <row r="126" spans="4:13" s="231" customFormat="1" x14ac:dyDescent="0.2">
      <c r="D126" s="783" t="s">
        <v>3392</v>
      </c>
      <c r="E126" s="783"/>
      <c r="F126" s="783" t="s">
        <v>3393</v>
      </c>
      <c r="G126" s="783"/>
      <c r="H126" s="783"/>
      <c r="I126" s="783" t="s">
        <v>3394</v>
      </c>
      <c r="J126" s="783"/>
      <c r="K126" s="783"/>
    </row>
    <row r="127" spans="4:13" s="231" customFormat="1" ht="46.15" customHeight="1" x14ac:dyDescent="0.2">
      <c r="D127" s="790" t="s">
        <v>3399</v>
      </c>
      <c r="E127" s="790"/>
      <c r="F127" s="789" t="s">
        <v>3400</v>
      </c>
      <c r="G127" s="789"/>
      <c r="H127" s="789"/>
      <c r="I127" s="789" t="s">
        <v>3401</v>
      </c>
      <c r="J127" s="791"/>
      <c r="K127" s="791"/>
    </row>
    <row r="128" spans="4:13" s="231" customFormat="1" x14ac:dyDescent="0.2"/>
    <row r="129" spans="4:15" s="231" customFormat="1" x14ac:dyDescent="0.2">
      <c r="D129" s="32" t="s">
        <v>3414</v>
      </c>
      <c r="H129" s="233">
        <f>300000000/H132</f>
        <v>924.10054213898468</v>
      </c>
    </row>
    <row r="130" spans="4:15" s="231" customFormat="1" x14ac:dyDescent="0.2">
      <c r="D130" s="32" t="s">
        <v>3415</v>
      </c>
      <c r="H130" s="234">
        <f>+H129/H133</f>
        <v>0.37008431803723857</v>
      </c>
    </row>
    <row r="131" spans="4:15" s="231" customFormat="1" x14ac:dyDescent="0.2"/>
    <row r="132" spans="4:15" s="231" customFormat="1" x14ac:dyDescent="0.2">
      <c r="D132" s="32" t="s">
        <v>3389</v>
      </c>
      <c r="H132" s="232">
        <v>324640</v>
      </c>
      <c r="J132" s="48" t="s">
        <v>3562</v>
      </c>
      <c r="N132" s="57"/>
      <c r="O132" s="57"/>
    </row>
    <row r="133" spans="4:15" s="231" customFormat="1" x14ac:dyDescent="0.2">
      <c r="D133" s="32" t="s">
        <v>3390</v>
      </c>
      <c r="H133" s="148">
        <v>2497</v>
      </c>
      <c r="N133" s="57"/>
      <c r="O133" s="57"/>
    </row>
    <row r="134" spans="4:15" s="231" customFormat="1" x14ac:dyDescent="0.2">
      <c r="D134" s="32" t="s">
        <v>3391</v>
      </c>
      <c r="H134" s="57">
        <v>810625000</v>
      </c>
      <c r="N134" s="57"/>
      <c r="O134" s="57"/>
    </row>
    <row r="135" spans="4:15" s="231" customFormat="1" x14ac:dyDescent="0.2">
      <c r="D135" s="32"/>
      <c r="H135" s="57"/>
      <c r="N135" s="57"/>
      <c r="O135" s="57"/>
    </row>
    <row r="136" spans="4:15" s="231" customFormat="1" x14ac:dyDescent="0.2">
      <c r="D136" s="32"/>
      <c r="H136" s="57"/>
      <c r="N136" s="57"/>
      <c r="O136" s="57"/>
    </row>
    <row r="137" spans="4:15" s="231" customFormat="1" x14ac:dyDescent="0.2">
      <c r="D137" s="32"/>
      <c r="H137" s="57"/>
      <c r="N137" s="57"/>
      <c r="O137" s="57"/>
    </row>
    <row r="138" spans="4:15" s="231" customFormat="1" x14ac:dyDescent="0.2">
      <c r="D138" s="32"/>
      <c r="H138" s="57"/>
      <c r="N138" s="57"/>
      <c r="O138" s="57"/>
    </row>
    <row r="139" spans="4:15" s="231" customFormat="1" x14ac:dyDescent="0.2">
      <c r="D139" s="32"/>
      <c r="H139" s="57"/>
      <c r="N139" s="57"/>
      <c r="O139" s="57"/>
    </row>
    <row r="140" spans="4:15" s="231" customFormat="1" x14ac:dyDescent="0.2"/>
    <row r="142" spans="4:15" s="231" customFormat="1" x14ac:dyDescent="0.2"/>
    <row r="144" spans="4:15" x14ac:dyDescent="0.2">
      <c r="F144" s="57"/>
      <c r="H144" s="48"/>
    </row>
    <row r="145" spans="2:8" x14ac:dyDescent="0.2">
      <c r="F145" s="148"/>
    </row>
    <row r="146" spans="2:8" x14ac:dyDescent="0.2">
      <c r="F146" s="57"/>
    </row>
    <row r="148" spans="2:8" x14ac:dyDescent="0.2">
      <c r="B148" s="32"/>
    </row>
    <row r="149" spans="2:8" x14ac:dyDescent="0.2">
      <c r="B149" s="32"/>
      <c r="F149" s="57"/>
      <c r="H149" s="48"/>
    </row>
    <row r="150" spans="2:8" x14ac:dyDescent="0.2">
      <c r="B150" s="32"/>
      <c r="F150" s="225"/>
      <c r="H150" s="48"/>
    </row>
    <row r="151" spans="2:8" x14ac:dyDescent="0.2">
      <c r="B151" s="32"/>
      <c r="F151" s="311"/>
    </row>
  </sheetData>
  <mergeCells count="46">
    <mergeCell ref="F127:H127"/>
    <mergeCell ref="D127:E127"/>
    <mergeCell ref="I127:K127"/>
    <mergeCell ref="D5:E5"/>
    <mergeCell ref="F5:H5"/>
    <mergeCell ref="I5:K5"/>
    <mergeCell ref="D6:E6"/>
    <mergeCell ref="F6:H6"/>
    <mergeCell ref="I6:K6"/>
    <mergeCell ref="D126:E126"/>
    <mergeCell ref="I26:K26"/>
    <mergeCell ref="F26:H26"/>
    <mergeCell ref="D26:E26"/>
    <mergeCell ref="I27:K27"/>
    <mergeCell ref="D27:E27"/>
    <mergeCell ref="F27:H27"/>
    <mergeCell ref="F126:H126"/>
    <mergeCell ref="I126:K126"/>
    <mergeCell ref="D75:E75"/>
    <mergeCell ref="F75:H75"/>
    <mergeCell ref="I75:K75"/>
    <mergeCell ref="D76:E76"/>
    <mergeCell ref="F76:H76"/>
    <mergeCell ref="I76:K76"/>
    <mergeCell ref="D104:E104"/>
    <mergeCell ref="F104:H104"/>
    <mergeCell ref="D58:E58"/>
    <mergeCell ref="F58:H58"/>
    <mergeCell ref="I58:K58"/>
    <mergeCell ref="D59:E59"/>
    <mergeCell ref="F59:H59"/>
    <mergeCell ref="I59:K59"/>
    <mergeCell ref="L59:N59"/>
    <mergeCell ref="L92:N92"/>
    <mergeCell ref="L105:N105"/>
    <mergeCell ref="I104:K104"/>
    <mergeCell ref="D105:E105"/>
    <mergeCell ref="F105:H105"/>
    <mergeCell ref="I105:K105"/>
    <mergeCell ref="L76:N76"/>
    <mergeCell ref="D91:E91"/>
    <mergeCell ref="F91:H91"/>
    <mergeCell ref="I91:K91"/>
    <mergeCell ref="D92:E92"/>
    <mergeCell ref="F92:H92"/>
    <mergeCell ref="I92:K92"/>
  </mergeCells>
  <hyperlinks>
    <hyperlink ref="D6:E6" r:id="rId1" location="page=13" display="$161 million each year"/>
    <hyperlink ref="I10" r:id="rId2"/>
    <hyperlink ref="I20" r:id="rId3" location="page=24"/>
    <hyperlink ref="I29" r:id="rId4"/>
    <hyperlink ref="D76:E76" r:id="rId5" location="page=29" display="$57 million each year"/>
    <hyperlink ref="K80" r:id="rId6"/>
    <hyperlink ref="D92:E92" r:id="rId7" display="$30 million each year"/>
    <hyperlink ref="K96" r:id="rId8"/>
    <hyperlink ref="D105:E105" r:id="rId9" display="$25 million"/>
    <hyperlink ref="I111" r:id="rId10" location="page=24"/>
    <hyperlink ref="I123" r:id="rId11"/>
    <hyperlink ref="J132" r:id="rId12" location="page=6"/>
    <hyperlink ref="H1" location="Index!A1" display="Return to Index"/>
  </hyperlinks>
  <pageMargins left="0.7" right="0.7" top="0.75" bottom="0.75" header="0.3" footer="0.3"/>
  <pageSetup orientation="portrait" r:id="rId1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E1" sqref="E1"/>
    </sheetView>
  </sheetViews>
  <sheetFormatPr defaultRowHeight="12.75" x14ac:dyDescent="0.2"/>
  <cols>
    <col min="1" max="1" width="36.28515625" customWidth="1"/>
    <col min="2" max="2" width="33" customWidth="1"/>
    <col min="4" max="4" width="19.42578125" customWidth="1"/>
    <col min="5" max="5" width="65.7109375" customWidth="1"/>
    <col min="6" max="6" width="14.7109375" customWidth="1"/>
    <col min="10" max="10" width="13.28515625" customWidth="1"/>
  </cols>
  <sheetData>
    <row r="1" spans="1:12" x14ac:dyDescent="0.2">
      <c r="A1" s="32" t="s">
        <v>162</v>
      </c>
      <c r="B1">
        <v>3</v>
      </c>
      <c r="E1" s="48" t="s">
        <v>3630</v>
      </c>
    </row>
    <row r="2" spans="1:12" x14ac:dyDescent="0.2">
      <c r="A2" s="32" t="s">
        <v>633</v>
      </c>
      <c r="B2" s="32" t="s">
        <v>3521</v>
      </c>
    </row>
    <row r="8" spans="1:12" x14ac:dyDescent="0.2">
      <c r="A8" s="4"/>
      <c r="B8" s="4"/>
      <c r="C8" s="4"/>
      <c r="D8" s="4"/>
    </row>
    <row r="9" spans="1:12" ht="25.5" x14ac:dyDescent="0.2">
      <c r="A9" s="7" t="s">
        <v>0</v>
      </c>
      <c r="B9" s="7" t="s">
        <v>1</v>
      </c>
      <c r="C9" s="7" t="s">
        <v>2</v>
      </c>
      <c r="D9" s="7" t="s">
        <v>3</v>
      </c>
      <c r="E9" s="1" t="s">
        <v>4</v>
      </c>
      <c r="F9" s="1" t="s">
        <v>5</v>
      </c>
      <c r="G9" s="2"/>
      <c r="H9" s="2"/>
      <c r="I9" s="2"/>
      <c r="J9" s="2"/>
      <c r="K9" s="2"/>
      <c r="L9" s="2"/>
    </row>
    <row r="10" spans="1:12" s="283" customFormat="1" x14ac:dyDescent="0.2">
      <c r="A10" s="4"/>
      <c r="B10" s="4"/>
      <c r="C10" s="4"/>
      <c r="D10" s="4"/>
      <c r="F10" s="6"/>
    </row>
    <row r="11" spans="1:12" s="283" customFormat="1" ht="15" x14ac:dyDescent="0.25">
      <c r="A11" s="301" t="s">
        <v>3522</v>
      </c>
      <c r="B11" s="4"/>
      <c r="C11" s="4"/>
      <c r="D11" s="4"/>
      <c r="F11" s="6"/>
    </row>
    <row r="12" spans="1:12" x14ac:dyDescent="0.2">
      <c r="A12" s="32" t="s">
        <v>3167</v>
      </c>
      <c r="B12" s="32" t="s">
        <v>3523</v>
      </c>
      <c r="D12" s="22" t="s">
        <v>133</v>
      </c>
      <c r="E12" s="147"/>
      <c r="F12" s="147"/>
      <c r="G12" s="147"/>
      <c r="H12" s="147"/>
      <c r="I12" s="147"/>
      <c r="J12" s="147"/>
    </row>
    <row r="13" spans="1:12" x14ac:dyDescent="0.2">
      <c r="D13" s="147" t="s">
        <v>135</v>
      </c>
      <c r="E13" s="41" t="s">
        <v>3563</v>
      </c>
      <c r="F13" s="146"/>
      <c r="G13" s="146"/>
      <c r="H13" s="146"/>
      <c r="I13" s="146"/>
      <c r="J13" s="146"/>
    </row>
    <row r="14" spans="1:12" x14ac:dyDescent="0.2">
      <c r="D14" s="147"/>
      <c r="E14" s="146"/>
      <c r="F14" s="146"/>
      <c r="G14" s="146"/>
      <c r="H14" s="146"/>
      <c r="I14" s="146"/>
      <c r="J14" s="146"/>
    </row>
    <row r="15" spans="1:12" x14ac:dyDescent="0.2">
      <c r="D15" s="146"/>
      <c r="E15" s="39" t="s">
        <v>134</v>
      </c>
      <c r="F15" s="146" t="s">
        <v>18</v>
      </c>
      <c r="G15" s="146" t="s">
        <v>19</v>
      </c>
      <c r="H15" s="146"/>
      <c r="I15" s="146" t="s">
        <v>20</v>
      </c>
      <c r="J15" s="146" t="s">
        <v>21</v>
      </c>
    </row>
    <row r="16" spans="1:12" x14ac:dyDescent="0.2">
      <c r="D16" s="146">
        <v>1</v>
      </c>
      <c r="E16" s="146" t="s">
        <v>22</v>
      </c>
      <c r="F16" s="19">
        <v>39886662</v>
      </c>
      <c r="G16" s="14">
        <v>0.25</v>
      </c>
      <c r="H16" s="146"/>
      <c r="I16" s="15">
        <v>400</v>
      </c>
      <c r="J16" s="16">
        <v>99717</v>
      </c>
    </row>
    <row r="17" spans="4:10" x14ac:dyDescent="0.2">
      <c r="D17" s="146">
        <v>2</v>
      </c>
      <c r="E17" s="146" t="s">
        <v>23</v>
      </c>
      <c r="F17" s="19">
        <v>13995995</v>
      </c>
      <c r="G17" s="14">
        <v>0.09</v>
      </c>
      <c r="H17" s="146"/>
      <c r="I17" s="15">
        <v>270</v>
      </c>
      <c r="J17" s="16">
        <v>51837</v>
      </c>
    </row>
    <row r="18" spans="4:10" x14ac:dyDescent="0.2">
      <c r="D18" s="146">
        <v>3</v>
      </c>
      <c r="E18" s="146" t="s">
        <v>24</v>
      </c>
      <c r="F18" s="19">
        <v>5544809</v>
      </c>
      <c r="G18" s="14">
        <v>0.03</v>
      </c>
      <c r="H18" s="146"/>
      <c r="I18" s="15">
        <v>650</v>
      </c>
      <c r="J18" s="16">
        <v>8530</v>
      </c>
    </row>
    <row r="19" spans="4:10" x14ac:dyDescent="0.2">
      <c r="D19" s="146">
        <v>4</v>
      </c>
      <c r="E19" s="146" t="s">
        <v>25</v>
      </c>
      <c r="F19" s="19">
        <v>4974513</v>
      </c>
      <c r="G19" s="14">
        <v>0.03</v>
      </c>
      <c r="H19" s="146"/>
      <c r="I19" s="15">
        <v>12</v>
      </c>
      <c r="J19" s="16">
        <v>414543</v>
      </c>
    </row>
    <row r="20" spans="4:10" x14ac:dyDescent="0.2">
      <c r="D20" s="146">
        <v>5</v>
      </c>
      <c r="E20" s="146" t="s">
        <v>26</v>
      </c>
      <c r="F20" s="19">
        <v>3612891</v>
      </c>
      <c r="G20" s="14">
        <v>0.02</v>
      </c>
      <c r="H20" s="146"/>
      <c r="I20" s="15">
        <v>12</v>
      </c>
      <c r="J20" s="16">
        <v>301074</v>
      </c>
    </row>
    <row r="21" spans="4:10" x14ac:dyDescent="0.2">
      <c r="D21" s="146">
        <v>6</v>
      </c>
      <c r="E21" s="146" t="s">
        <v>27</v>
      </c>
      <c r="F21" s="19">
        <v>3108335</v>
      </c>
      <c r="G21" s="14">
        <v>0.02</v>
      </c>
      <c r="H21" s="146"/>
      <c r="I21" s="146"/>
      <c r="J21" s="146"/>
    </row>
    <row r="22" spans="4:10" x14ac:dyDescent="0.2">
      <c r="D22" s="146">
        <v>7</v>
      </c>
      <c r="E22" s="146" t="s">
        <v>28</v>
      </c>
      <c r="F22" s="19">
        <v>3065849</v>
      </c>
      <c r="G22" s="14">
        <v>0.02</v>
      </c>
      <c r="H22" s="146"/>
      <c r="I22" s="146"/>
      <c r="J22" s="146"/>
    </row>
    <row r="23" spans="4:10" x14ac:dyDescent="0.2">
      <c r="D23" s="146">
        <v>8</v>
      </c>
      <c r="E23" s="146" t="s">
        <v>29</v>
      </c>
      <c r="F23" s="19">
        <v>3055951</v>
      </c>
      <c r="G23" s="14">
        <v>0.02</v>
      </c>
      <c r="H23" s="146"/>
      <c r="I23" s="146"/>
      <c r="J23" s="146"/>
    </row>
    <row r="24" spans="4:10" x14ac:dyDescent="0.2">
      <c r="D24" s="146">
        <v>9</v>
      </c>
      <c r="E24" s="146" t="s">
        <v>30</v>
      </c>
      <c r="F24" s="19">
        <v>3045024</v>
      </c>
      <c r="G24" s="14">
        <v>0.02</v>
      </c>
      <c r="H24" s="146"/>
      <c r="I24" s="146"/>
      <c r="J24" s="146"/>
    </row>
    <row r="25" spans="4:10" x14ac:dyDescent="0.2">
      <c r="D25" s="146">
        <v>10</v>
      </c>
      <c r="E25" s="146" t="s">
        <v>31</v>
      </c>
      <c r="F25" s="17">
        <v>2969213</v>
      </c>
      <c r="G25" s="18">
        <v>0.02</v>
      </c>
      <c r="H25" s="146"/>
      <c r="I25" s="146"/>
      <c r="J25" s="146"/>
    </row>
    <row r="26" spans="4:10" x14ac:dyDescent="0.2">
      <c r="D26" s="146"/>
      <c r="E26" s="146" t="s">
        <v>32</v>
      </c>
      <c r="F26" s="19">
        <v>83259242</v>
      </c>
      <c r="G26" s="14">
        <v>0.53</v>
      </c>
      <c r="H26" s="146"/>
      <c r="I26" s="146"/>
      <c r="J26" s="146"/>
    </row>
    <row r="27" spans="4:10" x14ac:dyDescent="0.2">
      <c r="D27" s="146"/>
      <c r="E27" s="146" t="s">
        <v>33</v>
      </c>
      <c r="F27" s="19">
        <v>75206929</v>
      </c>
      <c r="G27" s="14">
        <v>0.47</v>
      </c>
      <c r="H27" s="146"/>
      <c r="I27" s="146"/>
      <c r="J27" s="146"/>
    </row>
    <row r="28" spans="4:10" x14ac:dyDescent="0.2">
      <c r="D28" s="146"/>
      <c r="E28" s="146"/>
      <c r="F28" s="146"/>
      <c r="G28" s="146"/>
      <c r="H28" s="146"/>
      <c r="I28" s="146"/>
      <c r="J28" s="146"/>
    </row>
    <row r="29" spans="4:10" x14ac:dyDescent="0.2">
      <c r="D29" s="146" t="s">
        <v>34</v>
      </c>
      <c r="E29" s="146"/>
      <c r="F29" s="19">
        <f>SUM(F16:F20)</f>
        <v>68014870</v>
      </c>
      <c r="G29" s="20">
        <f>SUM(G16:G20)</f>
        <v>0.42000000000000004</v>
      </c>
      <c r="H29" s="146"/>
      <c r="I29" s="38">
        <f>SUM(I16:I20)</f>
        <v>1344</v>
      </c>
      <c r="J29" s="19">
        <f>F29/I29</f>
        <v>50606.302083333336</v>
      </c>
    </row>
    <row r="30" spans="4:10" x14ac:dyDescent="0.2">
      <c r="D30" s="147"/>
      <c r="E30" s="147"/>
      <c r="F30" s="147"/>
      <c r="G30" s="147"/>
      <c r="H30" s="147"/>
      <c r="I30" s="147"/>
      <c r="J30" s="147"/>
    </row>
    <row r="31" spans="4:10" x14ac:dyDescent="0.2">
      <c r="D31" s="147" t="s">
        <v>136</v>
      </c>
      <c r="E31" s="147"/>
      <c r="F31" s="147"/>
      <c r="G31" s="147"/>
      <c r="H31" s="147"/>
      <c r="I31" s="147"/>
      <c r="J31" s="147"/>
    </row>
    <row r="32" spans="4:10" s="283" customFormat="1" x14ac:dyDescent="0.2"/>
    <row r="33" spans="1:10" ht="38.25" x14ac:dyDescent="0.2">
      <c r="A33" s="307" t="s">
        <v>3167</v>
      </c>
      <c r="B33" s="3" t="s">
        <v>3564</v>
      </c>
      <c r="C33" s="4"/>
      <c r="D33" s="3" t="s">
        <v>6</v>
      </c>
      <c r="E33" s="4" t="s">
        <v>7</v>
      </c>
      <c r="F33" s="6" t="s">
        <v>8</v>
      </c>
    </row>
    <row r="34" spans="1:10" s="283" customFormat="1" x14ac:dyDescent="0.2">
      <c r="A34" s="32"/>
      <c r="B34" s="4"/>
      <c r="C34" s="4"/>
      <c r="D34" s="4"/>
      <c r="E34" s="4"/>
      <c r="F34" s="6"/>
    </row>
    <row r="35" spans="1:10" s="283" customFormat="1" ht="15" x14ac:dyDescent="0.25">
      <c r="A35" s="306" t="s">
        <v>3525</v>
      </c>
      <c r="B35" s="4"/>
      <c r="C35" s="4"/>
      <c r="D35" s="4"/>
      <c r="E35" s="4"/>
      <c r="F35" s="6"/>
    </row>
    <row r="36" spans="1:10" x14ac:dyDescent="0.2">
      <c r="A36" s="3" t="s">
        <v>9</v>
      </c>
      <c r="B36" s="3" t="s">
        <v>10</v>
      </c>
      <c r="C36" s="4"/>
      <c r="D36" s="8" t="s">
        <v>3528</v>
      </c>
      <c r="E36" s="4" t="s">
        <v>3526</v>
      </c>
      <c r="F36" s="6" t="s">
        <v>11</v>
      </c>
    </row>
    <row r="37" spans="1:10" s="283" customFormat="1" x14ac:dyDescent="0.2">
      <c r="A37" s="4"/>
      <c r="B37" s="4"/>
      <c r="C37" s="4"/>
      <c r="D37" s="22"/>
      <c r="E37" s="32" t="s">
        <v>3527</v>
      </c>
      <c r="F37" s="6"/>
    </row>
    <row r="40" spans="1:10" x14ac:dyDescent="0.2">
      <c r="D40" s="147"/>
      <c r="E40" s="147"/>
      <c r="F40" s="147"/>
      <c r="G40" s="147"/>
      <c r="H40" s="147"/>
      <c r="I40" s="147"/>
      <c r="J40" s="147"/>
    </row>
  </sheetData>
  <hyperlinks>
    <hyperlink ref="F33" r:id="rId1" location="page=3"/>
    <hyperlink ref="F36" r:id="rId2" location="page=6"/>
    <hyperlink ref="I16" r:id="rId3" display="https://www.google.com/about/datacenters/locations/mayes-county/"/>
    <hyperlink ref="I17" r:id="rId4" display="https://www.enidnews.com/news/local_news/koch-fertilizer-looks-to-expand-enid-plant/article_29b37475-b66d-56ac-bc0a-071ee42ffc59.html"/>
    <hyperlink ref="I18" r:id="rId5" display="https://www.tulsaworld.com/business/hollyfrontier-limits-onsite-staff-at-all-facilities-to-essential-operational-personnel-only/article_11d23e1a-99de-5f3e-8fd5-0375ebb411ac.html"/>
    <hyperlink ref="I19" r:id="rId6" display="https://www.power-technology.com/projects/kay-wind-project-kay-county-oklahoma/"/>
    <hyperlink ref="I20" r:id="rId7" display="https://www.enidnews.com/news/ag_energy/kingfisher-wind-no-completion-by-end-of-year-deadline/article_f95be8d9-3160-52d4-ba9c-0bf9875b2487.html"/>
    <hyperlink ref="E13" r:id="rId8"/>
    <hyperlink ref="E1" location="Index!A1" display="Return to Index"/>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topLeftCell="J1" workbookViewId="0">
      <selection activeCell="R15" sqref="A3:R15"/>
    </sheetView>
  </sheetViews>
  <sheetFormatPr defaultColWidth="8.85546875" defaultRowHeight="12.75" x14ac:dyDescent="0.2"/>
  <cols>
    <col min="1" max="1" width="8.85546875" style="236"/>
    <col min="2" max="2" width="18.5703125" style="236" customWidth="1"/>
    <col min="3" max="16" width="12.42578125" style="236" bestFit="1" customWidth="1"/>
    <col min="17" max="17" width="12.7109375" style="236" customWidth="1"/>
    <col min="18" max="18" width="9.85546875" style="236" customWidth="1"/>
    <col min="19" max="16384" width="8.85546875" style="236"/>
  </cols>
  <sheetData>
    <row r="1" spans="1:78" x14ac:dyDescent="0.2">
      <c r="A1" s="32" t="s">
        <v>162</v>
      </c>
      <c r="B1" s="236">
        <v>1</v>
      </c>
      <c r="H1" s="48" t="s">
        <v>3630</v>
      </c>
    </row>
    <row r="2" spans="1:78" x14ac:dyDescent="0.2">
      <c r="A2" s="32" t="s">
        <v>163</v>
      </c>
      <c r="B2" s="236">
        <v>2</v>
      </c>
    </row>
    <row r="3" spans="1:78" x14ac:dyDescent="0.2">
      <c r="A3" s="687"/>
      <c r="B3" s="687"/>
      <c r="C3" s="687"/>
      <c r="D3" s="687"/>
      <c r="E3" s="687"/>
      <c r="F3" s="687"/>
      <c r="G3" s="687"/>
      <c r="H3" s="687"/>
      <c r="I3" s="687"/>
      <c r="J3" s="687"/>
      <c r="K3" s="687"/>
      <c r="L3" s="687"/>
      <c r="M3" s="687"/>
      <c r="N3" s="687"/>
      <c r="O3" s="687"/>
      <c r="P3" s="687"/>
      <c r="Q3" s="687"/>
      <c r="R3" s="687"/>
    </row>
    <row r="4" spans="1:78" x14ac:dyDescent="0.2">
      <c r="A4" s="687"/>
      <c r="B4" s="688" t="s">
        <v>180</v>
      </c>
      <c r="C4" s="687"/>
      <c r="D4" s="687"/>
      <c r="E4" s="689" t="s">
        <v>161</v>
      </c>
      <c r="F4" s="687"/>
      <c r="G4" s="687"/>
      <c r="H4" s="687"/>
      <c r="I4" s="687"/>
      <c r="J4" s="687"/>
      <c r="K4" s="687"/>
      <c r="L4" s="687"/>
      <c r="M4" s="687"/>
      <c r="N4" s="687"/>
      <c r="O4" s="687"/>
      <c r="P4" s="687"/>
      <c r="Q4" s="687"/>
      <c r="R4" s="687"/>
    </row>
    <row r="5" spans="1:78" x14ac:dyDescent="0.2">
      <c r="A5" s="687"/>
      <c r="B5" s="687"/>
      <c r="C5" s="687"/>
      <c r="D5" s="159">
        <v>2004</v>
      </c>
      <c r="E5" s="159">
        <v>2005</v>
      </c>
      <c r="F5" s="159">
        <v>2006</v>
      </c>
      <c r="G5" s="159">
        <v>2007</v>
      </c>
      <c r="H5" s="159">
        <v>2008</v>
      </c>
      <c r="I5" s="159">
        <v>2009</v>
      </c>
      <c r="J5" s="159">
        <v>2010</v>
      </c>
      <c r="K5" s="159">
        <v>2011</v>
      </c>
      <c r="L5" s="159">
        <v>2012</v>
      </c>
      <c r="M5" s="159">
        <v>2013</v>
      </c>
      <c r="N5" s="159">
        <v>2014</v>
      </c>
      <c r="O5" s="159">
        <v>2015</v>
      </c>
      <c r="P5" s="159">
        <v>2016</v>
      </c>
      <c r="Q5" s="159">
        <v>2017</v>
      </c>
      <c r="R5" s="687">
        <v>2018</v>
      </c>
    </row>
    <row r="6" spans="1:78" x14ac:dyDescent="0.2">
      <c r="A6" s="687"/>
      <c r="B6" s="687" t="s">
        <v>176</v>
      </c>
      <c r="C6" s="687"/>
      <c r="D6" s="690">
        <v>9.1619469999999995E-2</v>
      </c>
      <c r="E6" s="690">
        <v>9.1056450000000011E-2</v>
      </c>
      <c r="F6" s="690">
        <v>9.2735529999999997E-2</v>
      </c>
      <c r="G6" s="690">
        <v>9.2557536999999995E-2</v>
      </c>
      <c r="H6" s="690">
        <v>8.6824132999999998E-2</v>
      </c>
      <c r="I6" s="690">
        <v>9.5075944999999995E-2</v>
      </c>
      <c r="J6" s="690">
        <v>8.3778579999999991E-2</v>
      </c>
      <c r="K6" s="690">
        <v>8.2369528999999997E-2</v>
      </c>
      <c r="L6" s="690">
        <v>8.3856835000000005E-2</v>
      </c>
      <c r="M6" s="690">
        <v>8.0742938E-2</v>
      </c>
      <c r="N6" s="690">
        <v>7.8140825999999997E-2</v>
      </c>
      <c r="O6" s="690">
        <v>8.5165000000000005E-2</v>
      </c>
      <c r="P6" s="690">
        <v>8.3746715999999999E-2</v>
      </c>
      <c r="Q6" s="690">
        <v>7.9622587999999994E-2</v>
      </c>
      <c r="R6" s="690">
        <v>8.3199999999999996E-2</v>
      </c>
    </row>
    <row r="7" spans="1:78" x14ac:dyDescent="0.2">
      <c r="A7" s="687"/>
      <c r="B7" s="687" t="s">
        <v>177</v>
      </c>
      <c r="C7" s="687"/>
      <c r="D7" s="690">
        <v>0.1006196</v>
      </c>
      <c r="E7" s="690">
        <v>0.103579</v>
      </c>
      <c r="F7" s="690">
        <v>0.10598</v>
      </c>
      <c r="G7" s="690">
        <v>0.10697942000000001</v>
      </c>
      <c r="H7" s="690">
        <v>0.10643002</v>
      </c>
      <c r="I7" s="690">
        <v>0.10639145999999999</v>
      </c>
      <c r="J7" s="690">
        <v>0.10196516999999999</v>
      </c>
      <c r="K7" s="690">
        <v>0.10094789999999999</v>
      </c>
      <c r="L7" s="690">
        <v>9.915322E-2</v>
      </c>
      <c r="M7" s="690">
        <v>0.10270327</v>
      </c>
      <c r="N7" s="690">
        <v>9.9777099999999994E-2</v>
      </c>
      <c r="O7" s="690">
        <v>9.9525069999999993E-2</v>
      </c>
      <c r="P7" s="690">
        <v>9.9407720000000005E-2</v>
      </c>
      <c r="Q7" s="690">
        <v>9.8264249999999997E-2</v>
      </c>
      <c r="R7" s="690">
        <v>9.8900000000000002E-2</v>
      </c>
    </row>
    <row r="8" spans="1:78" x14ac:dyDescent="0.2">
      <c r="A8" s="687"/>
      <c r="B8" s="687" t="s">
        <v>178</v>
      </c>
      <c r="C8" s="687"/>
      <c r="D8" s="687">
        <v>43</v>
      </c>
      <c r="E8" s="687">
        <v>46</v>
      </c>
      <c r="F8" s="687">
        <v>43</v>
      </c>
      <c r="G8" s="687">
        <v>45</v>
      </c>
      <c r="H8" s="687">
        <v>48</v>
      </c>
      <c r="I8" s="687">
        <v>41</v>
      </c>
      <c r="J8" s="687">
        <v>47</v>
      </c>
      <c r="K8" s="687">
        <v>48</v>
      </c>
      <c r="L8" s="687">
        <v>45</v>
      </c>
      <c r="M8" s="687">
        <v>49</v>
      </c>
      <c r="N8" s="687">
        <v>49</v>
      </c>
      <c r="O8" s="687">
        <v>42</v>
      </c>
      <c r="P8" s="687">
        <v>47</v>
      </c>
      <c r="Q8" s="687">
        <v>48</v>
      </c>
      <c r="R8" s="687">
        <v>46</v>
      </c>
    </row>
    <row r="9" spans="1:78" x14ac:dyDescent="0.2">
      <c r="A9" s="687"/>
      <c r="B9" s="691" t="s">
        <v>3198</v>
      </c>
      <c r="C9" s="159"/>
      <c r="D9" s="682">
        <v>9.6825547142857141E-2</v>
      </c>
      <c r="E9" s="682">
        <v>9.8872390000000032E-2</v>
      </c>
      <c r="F9" s="682">
        <v>0.10130631428571428</v>
      </c>
      <c r="G9" s="682">
        <v>0.10277736199999998</v>
      </c>
      <c r="H9" s="682">
        <v>9.9199792428571437E-2</v>
      </c>
      <c r="I9" s="682">
        <v>0.1008069187142857</v>
      </c>
      <c r="J9" s="682">
        <v>9.5067514999999977E-2</v>
      </c>
      <c r="K9" s="682">
        <v>9.3419102571428561E-2</v>
      </c>
      <c r="L9" s="682">
        <v>9.2917595857142862E-2</v>
      </c>
      <c r="M9" s="682">
        <v>9.4379843428571433E-2</v>
      </c>
      <c r="N9" s="682">
        <v>9.2516860142857149E-2</v>
      </c>
      <c r="O9" s="682">
        <v>9.3149304285714288E-2</v>
      </c>
      <c r="P9" s="682">
        <v>9.2232276285714274E-2</v>
      </c>
      <c r="Q9" s="682">
        <v>9.3603233285714266E-2</v>
      </c>
      <c r="R9" s="692">
        <f>AVERAGE(8.31,8.88,8.96,9.47,9.55,9.22,10.07)/100</f>
        <v>9.2085714285714299E-2</v>
      </c>
    </row>
    <row r="10" spans="1:78" x14ac:dyDescent="0.2">
      <c r="A10" s="687"/>
      <c r="B10" s="687"/>
      <c r="C10" s="687"/>
      <c r="D10" s="687"/>
      <c r="E10" s="687"/>
      <c r="F10" s="687"/>
      <c r="G10" s="687"/>
      <c r="H10" s="687"/>
      <c r="I10" s="687"/>
      <c r="J10" s="687"/>
      <c r="K10" s="687"/>
      <c r="L10" s="687"/>
      <c r="M10" s="687"/>
      <c r="N10" s="687"/>
      <c r="O10" s="687"/>
      <c r="P10" s="687"/>
      <c r="Q10" s="687"/>
      <c r="R10" s="687"/>
    </row>
    <row r="11" spans="1:78" x14ac:dyDescent="0.2">
      <c r="A11" s="687"/>
      <c r="B11" s="687"/>
      <c r="C11" s="687"/>
      <c r="D11" s="687"/>
      <c r="E11" s="687"/>
      <c r="F11" s="687"/>
      <c r="G11" s="687"/>
      <c r="H11" s="687"/>
      <c r="I11" s="687"/>
      <c r="J11" s="687"/>
      <c r="K11" s="687"/>
      <c r="L11" s="687"/>
      <c r="M11" s="687"/>
      <c r="N11" s="687"/>
      <c r="O11" s="687"/>
      <c r="P11" s="687"/>
      <c r="Q11" s="687"/>
      <c r="R11" s="687"/>
    </row>
    <row r="12" spans="1:78" x14ac:dyDescent="0.2">
      <c r="A12" s="687"/>
      <c r="B12" s="687"/>
      <c r="C12" s="687"/>
      <c r="D12" s="687"/>
      <c r="E12" s="689" t="s">
        <v>161</v>
      </c>
      <c r="F12" s="687"/>
      <c r="G12" s="687"/>
      <c r="H12" s="687"/>
      <c r="I12" s="687"/>
      <c r="J12" s="687"/>
      <c r="K12" s="687"/>
      <c r="L12" s="687"/>
      <c r="M12" s="687"/>
      <c r="N12" s="687"/>
      <c r="O12" s="687"/>
      <c r="P12" s="687"/>
      <c r="Q12" s="687"/>
      <c r="R12" s="687"/>
    </row>
    <row r="13" spans="1:78" x14ac:dyDescent="0.2">
      <c r="A13" s="159"/>
      <c r="B13" s="679" t="s">
        <v>181</v>
      </c>
      <c r="C13" s="679" t="s">
        <v>182</v>
      </c>
      <c r="D13" s="683">
        <v>101714.4</v>
      </c>
      <c r="E13" s="683">
        <v>111052.3</v>
      </c>
      <c r="F13" s="683">
        <v>123411.8</v>
      </c>
      <c r="G13" s="683">
        <v>127818.7</v>
      </c>
      <c r="H13" s="683">
        <v>141463.9</v>
      </c>
      <c r="I13" s="683">
        <v>131404.79999999999</v>
      </c>
      <c r="J13" s="683">
        <v>137327.5</v>
      </c>
      <c r="K13" s="683">
        <v>147778.29999999999</v>
      </c>
      <c r="L13" s="683">
        <v>158235.70000000001</v>
      </c>
      <c r="M13" s="683">
        <v>165860.4</v>
      </c>
      <c r="N13" s="683">
        <v>176376.7</v>
      </c>
      <c r="O13" s="683">
        <v>172636.2</v>
      </c>
      <c r="P13" s="683">
        <v>165107</v>
      </c>
      <c r="Q13" s="683">
        <v>174435.4</v>
      </c>
      <c r="R13" s="102"/>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row>
    <row r="14" spans="1:78" x14ac:dyDescent="0.2">
      <c r="A14" s="687"/>
      <c r="B14" s="687"/>
      <c r="C14" s="687"/>
      <c r="D14" s="687"/>
      <c r="E14" s="687"/>
      <c r="F14" s="687"/>
      <c r="G14" s="687"/>
      <c r="H14" s="687"/>
      <c r="I14" s="687"/>
      <c r="J14" s="687"/>
      <c r="K14" s="687"/>
      <c r="L14" s="687"/>
      <c r="M14" s="687"/>
      <c r="N14" s="687"/>
      <c r="O14" s="687"/>
      <c r="P14" s="687"/>
      <c r="Q14" s="687"/>
      <c r="R14" s="687"/>
    </row>
    <row r="15" spans="1:78" x14ac:dyDescent="0.2">
      <c r="A15" s="687"/>
      <c r="B15" s="687"/>
      <c r="C15" s="687"/>
      <c r="D15" s="687"/>
      <c r="E15" s="687"/>
      <c r="F15" s="687"/>
      <c r="G15" s="687"/>
      <c r="H15" s="687"/>
      <c r="I15" s="687"/>
      <c r="J15" s="687"/>
      <c r="K15" s="687"/>
      <c r="L15" s="687"/>
      <c r="M15" s="687"/>
      <c r="N15" s="687"/>
      <c r="O15" s="687"/>
      <c r="P15" s="687"/>
      <c r="Q15" s="687"/>
      <c r="R15" s="687"/>
    </row>
    <row r="17" spans="2:17" x14ac:dyDescent="0.2">
      <c r="B17" s="236" t="s">
        <v>179</v>
      </c>
      <c r="Q17" s="42"/>
    </row>
    <row r="18" spans="2:17" x14ac:dyDescent="0.2">
      <c r="B18" s="238" t="s">
        <v>185</v>
      </c>
      <c r="C18" s="59">
        <v>0.08</v>
      </c>
    </row>
    <row r="19" spans="2:17" x14ac:dyDescent="0.2">
      <c r="B19" s="238" t="s">
        <v>186</v>
      </c>
      <c r="C19" s="59">
        <v>9.1999999999999998E-2</v>
      </c>
    </row>
    <row r="20" spans="2:17" x14ac:dyDescent="0.2">
      <c r="B20" s="32" t="s">
        <v>183</v>
      </c>
      <c r="C20" s="59">
        <f>+C19-C18</f>
        <v>1.1999999999999997E-2</v>
      </c>
    </row>
    <row r="22" spans="2:17" x14ac:dyDescent="0.2">
      <c r="B22" s="32" t="s">
        <v>184</v>
      </c>
      <c r="C22" s="57">
        <v>174435</v>
      </c>
      <c r="D22" s="32" t="s">
        <v>187</v>
      </c>
    </row>
    <row r="23" spans="2:17" x14ac:dyDescent="0.2">
      <c r="B23" s="32" t="s">
        <v>188</v>
      </c>
      <c r="C23" s="44">
        <f>+C20</f>
        <v>1.1999999999999997E-2</v>
      </c>
    </row>
    <row r="24" spans="2:17" x14ac:dyDescent="0.2">
      <c r="B24" s="32" t="s">
        <v>189</v>
      </c>
      <c r="C24" s="55">
        <f>+C23*C22</f>
        <v>2093.2199999999993</v>
      </c>
      <c r="D24" s="32" t="s">
        <v>187</v>
      </c>
    </row>
    <row r="25" spans="2:17" x14ac:dyDescent="0.2">
      <c r="C25" s="55">
        <f>+C24/1000</f>
        <v>2.0932199999999992</v>
      </c>
      <c r="D25" s="32" t="s">
        <v>190</v>
      </c>
    </row>
  </sheetData>
  <hyperlinks>
    <hyperlink ref="E4" r:id="rId1"/>
    <hyperlink ref="E12" r:id="rId2"/>
    <hyperlink ref="H1" location="Index!A1" display="Return to Index"/>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E5" sqref="E5"/>
    </sheetView>
  </sheetViews>
  <sheetFormatPr defaultColWidth="8.85546875" defaultRowHeight="12.75" x14ac:dyDescent="0.2"/>
  <cols>
    <col min="1" max="3" width="8.85546875" style="40"/>
    <col min="4" max="5" width="19.7109375" style="40" customWidth="1"/>
    <col min="6" max="6" width="17.85546875" style="40" customWidth="1"/>
    <col min="7" max="7" width="18.5703125" style="40" customWidth="1"/>
    <col min="8" max="8" width="16.7109375" style="40" customWidth="1"/>
    <col min="9" max="16384" width="8.85546875" style="40"/>
  </cols>
  <sheetData>
    <row r="1" spans="1:8" x14ac:dyDescent="0.2">
      <c r="A1" s="40" t="s">
        <v>162</v>
      </c>
      <c r="B1" s="40">
        <v>1</v>
      </c>
      <c r="F1" s="32"/>
      <c r="G1" s="319"/>
    </row>
    <row r="2" spans="1:8" x14ac:dyDescent="0.2">
      <c r="A2" s="40" t="s">
        <v>163</v>
      </c>
      <c r="B2" s="40">
        <v>3</v>
      </c>
      <c r="F2" s="32"/>
      <c r="G2" s="319"/>
    </row>
    <row r="4" spans="1:8" x14ac:dyDescent="0.2">
      <c r="B4" s="159"/>
      <c r="C4" s="159"/>
      <c r="D4" s="159"/>
      <c r="E4" s="159"/>
      <c r="F4" s="159"/>
      <c r="G4" s="159"/>
      <c r="H4" s="159"/>
    </row>
    <row r="5" spans="1:8" ht="25.5" x14ac:dyDescent="0.2">
      <c r="B5" s="159"/>
      <c r="C5" s="159" t="s">
        <v>61</v>
      </c>
      <c r="D5" s="159" t="s">
        <v>191</v>
      </c>
      <c r="E5" s="679" t="s">
        <v>3457</v>
      </c>
      <c r="F5" s="159" t="s">
        <v>192</v>
      </c>
      <c r="G5" s="680" t="s">
        <v>3458</v>
      </c>
      <c r="H5" s="159"/>
    </row>
    <row r="6" spans="1:8" x14ac:dyDescent="0.2">
      <c r="B6" s="159"/>
      <c r="C6" s="159">
        <v>2012</v>
      </c>
      <c r="D6" s="681">
        <v>13058624963</v>
      </c>
      <c r="E6" s="681">
        <v>895066072</v>
      </c>
      <c r="F6" s="682">
        <f>+E6/D6</f>
        <v>6.8542137823550273E-2</v>
      </c>
      <c r="G6" s="683">
        <f>(0.07-F6)*D6</f>
        <v>19037675.410000008</v>
      </c>
      <c r="H6" s="159"/>
    </row>
    <row r="7" spans="1:8" x14ac:dyDescent="0.2">
      <c r="B7" s="159"/>
      <c r="C7" s="159">
        <v>2013</v>
      </c>
      <c r="D7" s="681">
        <v>16619835900</v>
      </c>
      <c r="E7" s="681">
        <v>529365106</v>
      </c>
      <c r="F7" s="682">
        <f t="shared" ref="F7:F14" si="0">+E7/D7</f>
        <v>3.1851403899842354E-2</v>
      </c>
      <c r="G7" s="683">
        <f t="shared" ref="G7:G14" si="1">(0.07-F7)*D7</f>
        <v>634023407.00000012</v>
      </c>
      <c r="H7" s="159"/>
    </row>
    <row r="8" spans="1:8" x14ac:dyDescent="0.2">
      <c r="B8" s="159"/>
      <c r="C8" s="159">
        <v>2014</v>
      </c>
      <c r="D8" s="681">
        <v>21707358153</v>
      </c>
      <c r="E8" s="681">
        <v>686092649</v>
      </c>
      <c r="F8" s="682">
        <f t="shared" si="0"/>
        <v>3.1606455477640912E-2</v>
      </c>
      <c r="G8" s="683">
        <f t="shared" si="1"/>
        <v>833422421.71000016</v>
      </c>
      <c r="H8" s="159"/>
    </row>
    <row r="9" spans="1:8" x14ac:dyDescent="0.2">
      <c r="B9" s="159"/>
      <c r="C9" s="159">
        <v>2015</v>
      </c>
      <c r="D9" s="681">
        <v>18796557430</v>
      </c>
      <c r="E9" s="681">
        <v>560102003</v>
      </c>
      <c r="F9" s="682">
        <f t="shared" si="0"/>
        <v>2.9798116228775835E-2</v>
      </c>
      <c r="G9" s="683">
        <f t="shared" si="1"/>
        <v>755657017.10000014</v>
      </c>
      <c r="H9" s="159"/>
    </row>
    <row r="10" spans="1:8" x14ac:dyDescent="0.2">
      <c r="B10" s="159"/>
      <c r="C10" s="159">
        <v>2016</v>
      </c>
      <c r="D10" s="681">
        <v>11514670836</v>
      </c>
      <c r="E10" s="681">
        <v>330738937</v>
      </c>
      <c r="F10" s="682">
        <f t="shared" si="0"/>
        <v>2.8723264582254708E-2</v>
      </c>
      <c r="G10" s="683">
        <f t="shared" si="1"/>
        <v>475288021.52000004</v>
      </c>
      <c r="H10" s="159"/>
    </row>
    <row r="11" spans="1:8" x14ac:dyDescent="0.2">
      <c r="B11" s="159"/>
      <c r="C11" s="159">
        <v>2017</v>
      </c>
      <c r="D11" s="681">
        <v>14256084325</v>
      </c>
      <c r="E11" s="681">
        <v>424763280</v>
      </c>
      <c r="F11" s="682">
        <f t="shared" si="0"/>
        <v>2.9795227800043192E-2</v>
      </c>
      <c r="G11" s="683">
        <f t="shared" si="1"/>
        <v>573162622.75000012</v>
      </c>
      <c r="H11" s="159"/>
    </row>
    <row r="12" spans="1:8" x14ac:dyDescent="0.2">
      <c r="B12" s="159"/>
      <c r="C12" s="159">
        <v>2018</v>
      </c>
      <c r="D12" s="681">
        <f>+F23</f>
        <v>16822882105.263159</v>
      </c>
      <c r="E12" s="681">
        <v>683955074</v>
      </c>
      <c r="F12" s="682">
        <f t="shared" si="0"/>
        <v>4.0656236530720251E-2</v>
      </c>
      <c r="G12" s="683">
        <f t="shared" si="1"/>
        <v>493646673.3684212</v>
      </c>
      <c r="H12" s="159"/>
    </row>
    <row r="13" spans="1:8" x14ac:dyDescent="0.2">
      <c r="B13" s="159"/>
      <c r="C13" s="159">
        <v>2019</v>
      </c>
      <c r="D13" s="681">
        <f>+F24</f>
        <v>20689860000</v>
      </c>
      <c r="E13" s="681">
        <v>1133482629</v>
      </c>
      <c r="F13" s="682">
        <f t="shared" si="0"/>
        <v>5.4784451368931446E-2</v>
      </c>
      <c r="G13" s="683">
        <f t="shared" si="1"/>
        <v>314807571.00000018</v>
      </c>
      <c r="H13" s="159"/>
    </row>
    <row r="14" spans="1:8" x14ac:dyDescent="0.2">
      <c r="B14" s="159"/>
      <c r="C14" s="159">
        <v>2020</v>
      </c>
      <c r="D14" s="681">
        <f>+F25</f>
        <v>14267228421.052631</v>
      </c>
      <c r="E14" s="681">
        <v>815684230</v>
      </c>
      <c r="F14" s="682">
        <f t="shared" si="0"/>
        <v>5.7171877110790595E-2</v>
      </c>
      <c r="G14" s="683">
        <f t="shared" si="1"/>
        <v>183021759.47368431</v>
      </c>
      <c r="H14" s="159"/>
    </row>
    <row r="15" spans="1:8" x14ac:dyDescent="0.2">
      <c r="B15" s="159"/>
      <c r="C15" s="159" t="s">
        <v>138</v>
      </c>
      <c r="D15" s="684">
        <v>-1</v>
      </c>
      <c r="E15" s="685">
        <v>-2</v>
      </c>
      <c r="F15" s="684">
        <v>-3</v>
      </c>
      <c r="G15" s="684">
        <v>-4</v>
      </c>
      <c r="H15" s="159"/>
    </row>
    <row r="16" spans="1:8" x14ac:dyDescent="0.2">
      <c r="B16" s="159"/>
      <c r="C16" s="159"/>
      <c r="D16" s="159"/>
      <c r="E16" s="159"/>
      <c r="F16" s="159"/>
      <c r="G16" s="159"/>
      <c r="H16" s="686">
        <f>SUM(G6:G15)</f>
        <v>4282067165.3321056</v>
      </c>
    </row>
    <row r="18" spans="2:9" x14ac:dyDescent="0.2">
      <c r="B18" s="58" t="s">
        <v>193</v>
      </c>
      <c r="C18" s="60">
        <v>-1</v>
      </c>
      <c r="D18" s="40" t="s">
        <v>194</v>
      </c>
      <c r="G18" s="64" t="s">
        <v>3542</v>
      </c>
    </row>
    <row r="19" spans="2:9" x14ac:dyDescent="0.2">
      <c r="D19" s="40" t="s">
        <v>195</v>
      </c>
    </row>
    <row r="20" spans="2:9" x14ac:dyDescent="0.2">
      <c r="D20" s="40" t="s">
        <v>196</v>
      </c>
    </row>
    <row r="22" spans="2:9" ht="25.5" x14ac:dyDescent="0.2">
      <c r="E22" s="65" t="s">
        <v>197</v>
      </c>
      <c r="F22" s="40" t="s">
        <v>198</v>
      </c>
      <c r="I22" s="58"/>
    </row>
    <row r="23" spans="2:9" x14ac:dyDescent="0.2">
      <c r="D23" s="40">
        <v>2018</v>
      </c>
      <c r="E23" s="60">
        <v>15981738</v>
      </c>
      <c r="F23" s="56">
        <f>+E23/0.00095</f>
        <v>16822882105.263159</v>
      </c>
      <c r="G23" s="64" t="s">
        <v>635</v>
      </c>
    </row>
    <row r="24" spans="2:9" x14ac:dyDescent="0.2">
      <c r="D24" s="40">
        <v>2019</v>
      </c>
      <c r="E24" s="60">
        <v>19655367</v>
      </c>
      <c r="F24" s="56">
        <f>+E24/0.00095</f>
        <v>20689860000</v>
      </c>
      <c r="G24" s="64" t="s">
        <v>635</v>
      </c>
    </row>
    <row r="25" spans="2:9" x14ac:dyDescent="0.2">
      <c r="D25" s="40">
        <v>2020</v>
      </c>
      <c r="E25" s="60">
        <v>13553867</v>
      </c>
      <c r="F25" s="56">
        <f>+E25/0.00095</f>
        <v>14267228421.052631</v>
      </c>
      <c r="G25" s="64" t="s">
        <v>635</v>
      </c>
    </row>
    <row r="28" spans="2:9" x14ac:dyDescent="0.2">
      <c r="C28" s="66">
        <v>-2</v>
      </c>
      <c r="D28" s="58" t="s">
        <v>199</v>
      </c>
    </row>
    <row r="29" spans="2:9" x14ac:dyDescent="0.2">
      <c r="E29" s="60"/>
      <c r="F29" s="56"/>
      <c r="G29" s="62"/>
    </row>
    <row r="30" spans="2:9" x14ac:dyDescent="0.2">
      <c r="C30" s="66">
        <v>-3</v>
      </c>
      <c r="D30" s="40" t="s">
        <v>200</v>
      </c>
      <c r="E30" s="60"/>
      <c r="F30" s="56"/>
      <c r="G30" s="63"/>
    </row>
    <row r="31" spans="2:9" x14ac:dyDescent="0.2">
      <c r="C31" s="66"/>
    </row>
    <row r="32" spans="2:9" x14ac:dyDescent="0.2">
      <c r="C32" s="66">
        <v>-4</v>
      </c>
      <c r="D32" s="40" t="s">
        <v>201</v>
      </c>
    </row>
  </sheetData>
  <hyperlinks>
    <hyperlink ref="G18" r:id="rId1" location="page=39"/>
    <hyperlink ref="G25" r:id="rId2" location="page=6"/>
    <hyperlink ref="G24" r:id="rId3" location="page=9"/>
    <hyperlink ref="G23" r:id="rId4" location="page=9"/>
  </hyperlink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3"/>
  <sheetViews>
    <sheetView topLeftCell="A4" zoomScaleNormal="100" workbookViewId="0">
      <selection activeCell="H4" sqref="H4"/>
    </sheetView>
  </sheetViews>
  <sheetFormatPr defaultRowHeight="12.75" x14ac:dyDescent="0.2"/>
  <cols>
    <col min="2" max="2" width="18.7109375" customWidth="1"/>
    <col min="3" max="3" width="37.42578125" customWidth="1"/>
    <col min="4" max="4" width="23.7109375" customWidth="1"/>
    <col min="5" max="5" width="17.5703125" customWidth="1"/>
    <col min="6" max="6" width="18.42578125" customWidth="1"/>
    <col min="7" max="7" width="18.42578125" style="57" customWidth="1"/>
    <col min="8" max="8" width="19.140625" style="57" customWidth="1"/>
    <col min="9" max="9" width="18.28515625" style="57" customWidth="1"/>
    <col min="10" max="10" width="18.85546875" style="57" customWidth="1"/>
    <col min="11" max="11" width="17.7109375" style="57" customWidth="1"/>
    <col min="12" max="14" width="14.7109375" style="57" customWidth="1"/>
    <col min="15" max="15" width="11.7109375" customWidth="1"/>
    <col min="16" max="16" width="13.42578125" customWidth="1"/>
    <col min="17" max="17" width="12.5703125" customWidth="1"/>
    <col min="18" max="18" width="15.140625" customWidth="1"/>
  </cols>
  <sheetData>
    <row r="1" spans="1:18" x14ac:dyDescent="0.2">
      <c r="A1" s="32" t="s">
        <v>162</v>
      </c>
      <c r="B1">
        <v>1</v>
      </c>
      <c r="E1" s="227"/>
      <c r="F1" s="227"/>
      <c r="G1"/>
      <c r="H1"/>
      <c r="I1" s="227"/>
      <c r="O1" s="57"/>
      <c r="P1" s="57"/>
      <c r="Q1" s="57"/>
    </row>
    <row r="2" spans="1:18" x14ac:dyDescent="0.2">
      <c r="A2" s="32" t="s">
        <v>163</v>
      </c>
      <c r="B2">
        <v>4</v>
      </c>
      <c r="E2" s="227"/>
      <c r="F2" s="227"/>
      <c r="G2"/>
      <c r="H2"/>
      <c r="I2" s="227"/>
      <c r="J2" s="140"/>
      <c r="O2" s="57"/>
      <c r="P2" s="57"/>
      <c r="Q2" s="57"/>
    </row>
    <row r="3" spans="1:18" x14ac:dyDescent="0.2">
      <c r="E3" s="227"/>
      <c r="F3" s="227"/>
      <c r="G3"/>
      <c r="H3"/>
      <c r="I3" s="227"/>
      <c r="O3" s="57"/>
      <c r="P3" s="57"/>
      <c r="Q3" s="57"/>
    </row>
    <row r="4" spans="1:18" x14ac:dyDescent="0.2">
      <c r="A4" s="687"/>
      <c r="B4" s="687" t="s">
        <v>202</v>
      </c>
      <c r="C4" s="687"/>
      <c r="D4" s="687"/>
      <c r="E4" s="687"/>
      <c r="F4" s="687"/>
      <c r="G4" s="687"/>
      <c r="H4" s="689" t="s">
        <v>3630</v>
      </c>
      <c r="I4" s="687"/>
      <c r="J4" s="102"/>
      <c r="K4" s="102"/>
      <c r="L4" s="102"/>
      <c r="M4" s="102"/>
      <c r="N4" s="102"/>
      <c r="O4" s="102"/>
      <c r="P4" s="102"/>
      <c r="Q4" s="102"/>
      <c r="R4" s="687"/>
    </row>
    <row r="5" spans="1:18" x14ac:dyDescent="0.2">
      <c r="A5" s="687"/>
      <c r="B5" s="687"/>
      <c r="C5" s="687"/>
      <c r="D5" s="687"/>
      <c r="E5" s="687"/>
      <c r="F5" s="687"/>
      <c r="G5" s="687"/>
      <c r="H5" s="687"/>
      <c r="I5" s="687"/>
      <c r="J5" s="102"/>
      <c r="K5" s="102"/>
      <c r="L5" s="102" t="s">
        <v>3170</v>
      </c>
      <c r="M5" s="102"/>
      <c r="N5" s="102"/>
      <c r="O5" s="102" t="s">
        <v>3169</v>
      </c>
      <c r="P5" s="102"/>
      <c r="Q5" s="102"/>
      <c r="R5" s="102"/>
    </row>
    <row r="6" spans="1:18" ht="25.5" x14ac:dyDescent="0.2">
      <c r="A6" s="687"/>
      <c r="B6" s="687"/>
      <c r="C6" s="687" t="s">
        <v>203</v>
      </c>
      <c r="D6" s="687" t="s">
        <v>204</v>
      </c>
      <c r="E6" s="687" t="s">
        <v>3323</v>
      </c>
      <c r="F6" s="687" t="s">
        <v>3324</v>
      </c>
      <c r="G6" s="687" t="s">
        <v>205</v>
      </c>
      <c r="H6" s="693" t="s">
        <v>3327</v>
      </c>
      <c r="I6" s="693" t="s">
        <v>3328</v>
      </c>
      <c r="J6" s="102" t="s">
        <v>206</v>
      </c>
      <c r="K6" s="102"/>
      <c r="L6" s="102" t="s">
        <v>3168</v>
      </c>
      <c r="M6" s="102" t="s">
        <v>3329</v>
      </c>
      <c r="N6" s="102" t="s">
        <v>3330</v>
      </c>
      <c r="O6" s="102" t="s">
        <v>3168</v>
      </c>
      <c r="P6" s="712" t="s">
        <v>3329</v>
      </c>
      <c r="Q6" s="712" t="s">
        <v>3330</v>
      </c>
      <c r="R6" s="102"/>
    </row>
    <row r="7" spans="1:18" x14ac:dyDescent="0.2">
      <c r="A7" s="687"/>
      <c r="B7" s="687">
        <v>2010</v>
      </c>
      <c r="C7" s="102">
        <f>+I76</f>
        <v>9279580283</v>
      </c>
      <c r="D7" s="102">
        <f>+H102</f>
        <v>6078061747.7437</v>
      </c>
      <c r="E7" s="102">
        <f>+H311</f>
        <v>5555276001.7947998</v>
      </c>
      <c r="F7" s="102">
        <f>+D7-E7</f>
        <v>522785745.94890022</v>
      </c>
      <c r="G7" s="713">
        <f>C7/SUM(C7:D7)</f>
        <v>0.60423209920010312</v>
      </c>
      <c r="H7" s="714">
        <f>+E7/($C7+$D7)</f>
        <v>0.36172714474487483</v>
      </c>
      <c r="I7" s="714">
        <f>+F7/($C7+$D7)</f>
        <v>3.4040756055022083E-2</v>
      </c>
      <c r="J7" s="102"/>
      <c r="K7" s="102"/>
      <c r="L7" s="715">
        <f>+C7/1000000000</f>
        <v>9.2795802829999996</v>
      </c>
      <c r="M7" s="715">
        <f>+E7/1000000000</f>
        <v>5.5552760017948</v>
      </c>
      <c r="N7" s="715">
        <f>+F7/1000000000</f>
        <v>0.52278574594890026</v>
      </c>
      <c r="O7" s="102" t="str">
        <f>CONCATENATE(TEXT(L7,"$0.0"),"/",TEXT(G7,"0%"))</f>
        <v>$9.3/60%</v>
      </c>
      <c r="P7" s="102" t="str">
        <f>CONCATENATE(TEXT(M7,"$0.0"),"/",TEXT(H7,"0%"))</f>
        <v>$5.6/36%</v>
      </c>
      <c r="Q7" s="102" t="str">
        <f>CONCATENATE(TEXT(N7,"$0.0"),"/",TEXT(I7,"0%"))</f>
        <v>$0.5/3%</v>
      </c>
      <c r="R7" s="102"/>
    </row>
    <row r="8" spans="1:18" x14ac:dyDescent="0.2">
      <c r="A8" s="687"/>
      <c r="B8" s="687">
        <v>2012</v>
      </c>
      <c r="C8" s="102">
        <f>+H76</f>
        <v>7937417553</v>
      </c>
      <c r="D8" s="102">
        <f>G102</f>
        <v>8822496933.7754002</v>
      </c>
      <c r="E8" s="102">
        <f>+G311</f>
        <v>6743654432.5277996</v>
      </c>
      <c r="F8" s="102">
        <f t="shared" ref="F8:F11" si="0">+D8-E8</f>
        <v>2078842501.2476006</v>
      </c>
      <c r="G8" s="713">
        <f>C8/SUM(C8:D8)</f>
        <v>0.47359534914471724</v>
      </c>
      <c r="H8" s="714">
        <f t="shared" ref="H8:H11" si="1">+E8/($C8+$D8)</f>
        <v>0.40236806923143648</v>
      </c>
      <c r="I8" s="714">
        <f t="shared" ref="I8:I11" si="2">+F8/($C8+$D8)</f>
        <v>0.12403658162384627</v>
      </c>
      <c r="J8" s="102">
        <v>2174254938.2814002</v>
      </c>
      <c r="K8" s="102"/>
      <c r="L8" s="715">
        <f>+C8/1000000000</f>
        <v>7.9374175530000004</v>
      </c>
      <c r="M8" s="715">
        <f t="shared" ref="M8:M11" si="3">+E8/1000000000</f>
        <v>6.7436544325277996</v>
      </c>
      <c r="N8" s="715">
        <f t="shared" ref="N8:N11" si="4">+F8/1000000000</f>
        <v>2.0788425012476006</v>
      </c>
      <c r="O8" s="102" t="str">
        <f>CONCATENATE(TEXT(L8,"$0.0"),"/",TEXT(G8,"0%"))</f>
        <v>$7.9/47%</v>
      </c>
      <c r="P8" s="102" t="str">
        <f t="shared" ref="P8:P11" si="5">CONCATENATE(TEXT(M8,"$0.0"),"/",TEXT(H8,"0%"))</f>
        <v>$6.7/40%</v>
      </c>
      <c r="Q8" s="102" t="str">
        <f t="shared" ref="Q8:Q11" si="6">CONCATENATE(TEXT(N8,"$0.0"),"/",TEXT(I8,"0%"))</f>
        <v>$2.1/12%</v>
      </c>
      <c r="R8" s="102"/>
    </row>
    <row r="9" spans="1:18" x14ac:dyDescent="0.2">
      <c r="A9" s="687"/>
      <c r="B9" s="687">
        <v>2014</v>
      </c>
      <c r="C9" s="102">
        <f>+G76</f>
        <v>11765543824</v>
      </c>
      <c r="D9" s="102">
        <f>F102</f>
        <v>10701644737.3368</v>
      </c>
      <c r="E9" s="102">
        <f>+F311</f>
        <v>6390893096.0550003</v>
      </c>
      <c r="F9" s="102">
        <f t="shared" si="0"/>
        <v>4310751641.2817993</v>
      </c>
      <c r="G9" s="713">
        <f>C9/SUM(C9:D9)</f>
        <v>0.52367672937267362</v>
      </c>
      <c r="H9" s="714">
        <f t="shared" si="1"/>
        <v>0.28445450923276278</v>
      </c>
      <c r="I9" s="714">
        <f t="shared" si="2"/>
        <v>0.1918687613945636</v>
      </c>
      <c r="J9" s="102">
        <v>1553487649.7938001</v>
      </c>
      <c r="K9" s="102"/>
      <c r="L9" s="715">
        <f>+C9/1000000000</f>
        <v>11.765543824</v>
      </c>
      <c r="M9" s="715">
        <f t="shared" si="3"/>
        <v>6.3908930960550006</v>
      </c>
      <c r="N9" s="715">
        <f t="shared" si="4"/>
        <v>4.310751641281799</v>
      </c>
      <c r="O9" s="102" t="str">
        <f>CONCATENATE(TEXT(L9,"$0.0"),"/",TEXT(G9,"0%"))</f>
        <v>$11.8/52%</v>
      </c>
      <c r="P9" s="102" t="str">
        <f t="shared" si="5"/>
        <v>$6.4/28%</v>
      </c>
      <c r="Q9" s="102" t="str">
        <f t="shared" si="6"/>
        <v>$4.3/19%</v>
      </c>
      <c r="R9" s="102"/>
    </row>
    <row r="10" spans="1:18" x14ac:dyDescent="0.2">
      <c r="A10" s="687"/>
      <c r="B10" s="687">
        <v>2016</v>
      </c>
      <c r="C10" s="102">
        <f>+F76</f>
        <v>11670893867</v>
      </c>
      <c r="D10" s="102">
        <f>E102</f>
        <v>10330802770.014999</v>
      </c>
      <c r="E10" s="102">
        <f>+E311</f>
        <v>8353539339</v>
      </c>
      <c r="F10" s="102">
        <f t="shared" si="0"/>
        <v>1977263431.0149994</v>
      </c>
      <c r="G10" s="713">
        <f>C10/SUM(C10:D10)</f>
        <v>0.53045426721161293</v>
      </c>
      <c r="H10" s="714">
        <f t="shared" si="1"/>
        <v>0.379677052948101</v>
      </c>
      <c r="I10" s="714">
        <f t="shared" si="2"/>
        <v>8.9868679840286056E-2</v>
      </c>
      <c r="J10" s="102">
        <v>1293781376.9412</v>
      </c>
      <c r="K10" s="102"/>
      <c r="L10" s="715">
        <f>+C10/1000000000</f>
        <v>11.670893867</v>
      </c>
      <c r="M10" s="715">
        <f t="shared" si="3"/>
        <v>8.3535393389999992</v>
      </c>
      <c r="N10" s="715">
        <f t="shared" si="4"/>
        <v>1.9772634310149995</v>
      </c>
      <c r="O10" s="102" t="str">
        <f>CONCATENATE(TEXT(L10,"$0.0"),"/",TEXT(G10,"0%"))</f>
        <v>$11.7/53%</v>
      </c>
      <c r="P10" s="102" t="str">
        <f t="shared" si="5"/>
        <v>$8.4/38%</v>
      </c>
      <c r="Q10" s="102" t="str">
        <f t="shared" si="6"/>
        <v>$2.0/9%</v>
      </c>
      <c r="R10" s="102"/>
    </row>
    <row r="11" spans="1:18" x14ac:dyDescent="0.2">
      <c r="A11" s="687"/>
      <c r="B11" s="687">
        <v>2018</v>
      </c>
      <c r="C11" s="102">
        <f>+E76</f>
        <v>12891038141</v>
      </c>
      <c r="D11" s="102">
        <f>+D102</f>
        <v>12043184182</v>
      </c>
      <c r="E11" s="102">
        <f>+D311</f>
        <v>7643277000</v>
      </c>
      <c r="F11" s="102">
        <f t="shared" si="0"/>
        <v>4399907182</v>
      </c>
      <c r="G11" s="713">
        <f>C11/SUM(C11:D11)</f>
        <v>0.51700181276995183</v>
      </c>
      <c r="H11" s="714">
        <f t="shared" si="1"/>
        <v>0.30653761328459939</v>
      </c>
      <c r="I11" s="714">
        <f t="shared" si="2"/>
        <v>0.17646057394544873</v>
      </c>
      <c r="J11" s="102">
        <v>1995183353.8400002</v>
      </c>
      <c r="K11" s="102"/>
      <c r="L11" s="715">
        <f>+C11/1000000000</f>
        <v>12.891038140999999</v>
      </c>
      <c r="M11" s="715">
        <f t="shared" si="3"/>
        <v>7.6432770000000003</v>
      </c>
      <c r="N11" s="715">
        <f t="shared" si="4"/>
        <v>4.3999071819999998</v>
      </c>
      <c r="O11" s="102" t="str">
        <f>CONCATENATE(TEXT(L11,"$0.0"),"/",TEXT(G11,"0%"))</f>
        <v>$12.9/52%</v>
      </c>
      <c r="P11" s="102" t="str">
        <f t="shared" si="5"/>
        <v>$7.6/31%</v>
      </c>
      <c r="Q11" s="102" t="str">
        <f t="shared" si="6"/>
        <v>$4.4/18%</v>
      </c>
      <c r="R11" s="102"/>
    </row>
    <row r="12" spans="1:18" x14ac:dyDescent="0.2">
      <c r="A12" s="687"/>
      <c r="B12" s="710" t="s">
        <v>208</v>
      </c>
      <c r="C12" s="716">
        <v>-1</v>
      </c>
      <c r="D12" s="716">
        <v>-2</v>
      </c>
      <c r="E12" s="716">
        <v>-3</v>
      </c>
      <c r="F12" s="716">
        <v>-4</v>
      </c>
      <c r="G12" s="711">
        <v>-5</v>
      </c>
      <c r="H12" s="711">
        <v>-6</v>
      </c>
      <c r="I12" s="711">
        <v>-7</v>
      </c>
      <c r="J12" s="102">
        <v>-8</v>
      </c>
      <c r="K12" s="102"/>
      <c r="L12" s="102"/>
      <c r="M12" s="102"/>
      <c r="N12" s="102"/>
      <c r="O12" s="102"/>
      <c r="P12" s="102"/>
      <c r="Q12" s="102"/>
      <c r="R12" s="687"/>
    </row>
    <row r="13" spans="1:18" x14ac:dyDescent="0.2">
      <c r="A13" s="687"/>
      <c r="B13" s="687"/>
      <c r="C13" s="687"/>
      <c r="D13" s="687"/>
      <c r="E13" s="687"/>
      <c r="F13" s="687"/>
      <c r="G13" s="102"/>
      <c r="H13" s="102"/>
      <c r="I13" s="102"/>
      <c r="J13" s="102"/>
      <c r="K13" s="102"/>
      <c r="L13" s="102"/>
      <c r="M13" s="102"/>
      <c r="N13" s="102"/>
      <c r="O13" s="687"/>
      <c r="P13" s="687"/>
      <c r="Q13" s="687"/>
      <c r="R13" s="687"/>
    </row>
    <row r="14" spans="1:18" x14ac:dyDescent="0.2">
      <c r="B14" s="47" t="s">
        <v>208</v>
      </c>
      <c r="C14" s="47" t="s">
        <v>273</v>
      </c>
    </row>
    <row r="15" spans="1:18" x14ac:dyDescent="0.2">
      <c r="C15" s="46">
        <v>-1</v>
      </c>
      <c r="D15" s="47" t="s">
        <v>207</v>
      </c>
      <c r="H15" s="309" t="s">
        <v>161</v>
      </c>
    </row>
    <row r="16" spans="1:18" x14ac:dyDescent="0.2">
      <c r="C16" s="46">
        <v>-2</v>
      </c>
      <c r="D16" s="47" t="s">
        <v>209</v>
      </c>
      <c r="K16" s="309" t="s">
        <v>161</v>
      </c>
    </row>
    <row r="17" spans="2:17" x14ac:dyDescent="0.2">
      <c r="C17" s="46"/>
      <c r="D17" s="47" t="s">
        <v>210</v>
      </c>
      <c r="K17" s="309" t="s">
        <v>161</v>
      </c>
    </row>
    <row r="18" spans="2:17" s="227" customFormat="1" ht="42" customHeight="1" x14ac:dyDescent="0.2">
      <c r="C18" s="46">
        <v>-3</v>
      </c>
      <c r="D18" s="753" t="s">
        <v>3326</v>
      </c>
      <c r="E18" s="753"/>
      <c r="F18" s="753"/>
      <c r="G18" s="753"/>
      <c r="H18" s="753"/>
      <c r="I18" s="753"/>
      <c r="J18" s="57"/>
      <c r="K18" s="69"/>
      <c r="L18" s="57"/>
      <c r="M18" s="57"/>
      <c r="N18" s="57"/>
    </row>
    <row r="19" spans="2:17" s="227" customFormat="1" x14ac:dyDescent="0.2">
      <c r="C19" s="46">
        <v>-4</v>
      </c>
      <c r="D19" s="229" t="s">
        <v>3325</v>
      </c>
      <c r="G19" s="57"/>
      <c r="H19" s="57"/>
      <c r="I19" s="57"/>
      <c r="J19" s="57"/>
      <c r="K19" s="69"/>
      <c r="L19" s="57"/>
      <c r="M19" s="57"/>
      <c r="N19" s="57"/>
    </row>
    <row r="20" spans="2:17" x14ac:dyDescent="0.2">
      <c r="C20" s="46">
        <v>-5</v>
      </c>
      <c r="D20" s="47" t="s">
        <v>211</v>
      </c>
    </row>
    <row r="21" spans="2:17" x14ac:dyDescent="0.2">
      <c r="C21" s="46">
        <v>-6</v>
      </c>
      <c r="D21" s="47" t="s">
        <v>212</v>
      </c>
    </row>
    <row r="22" spans="2:17" x14ac:dyDescent="0.2">
      <c r="C22" s="46">
        <v>-7</v>
      </c>
      <c r="D22" s="47" t="s">
        <v>213</v>
      </c>
    </row>
    <row r="26" spans="2:17" x14ac:dyDescent="0.2">
      <c r="B26" s="68" t="s">
        <v>274</v>
      </c>
    </row>
    <row r="28" spans="2:17" ht="25.5" x14ac:dyDescent="0.2">
      <c r="B28" s="43" t="s">
        <v>214</v>
      </c>
      <c r="C28" s="43" t="s">
        <v>62</v>
      </c>
      <c r="D28" s="67" t="s">
        <v>300</v>
      </c>
      <c r="E28" s="67" t="s">
        <v>215</v>
      </c>
      <c r="F28" s="67" t="s">
        <v>216</v>
      </c>
      <c r="G28" s="67" t="s">
        <v>217</v>
      </c>
      <c r="H28" s="70" t="s">
        <v>218</v>
      </c>
      <c r="I28" s="70" t="s">
        <v>219</v>
      </c>
    </row>
    <row r="29" spans="2:17" x14ac:dyDescent="0.2">
      <c r="B29" s="43"/>
      <c r="C29" s="43" t="s">
        <v>220</v>
      </c>
      <c r="E29" s="43">
        <v>42466157</v>
      </c>
      <c r="F29" s="43">
        <v>40105329</v>
      </c>
      <c r="G29" s="43">
        <v>38845552</v>
      </c>
      <c r="H29" s="57">
        <v>35535440</v>
      </c>
      <c r="I29" s="57">
        <v>32359306</v>
      </c>
      <c r="L29" s="57" t="s">
        <v>3331</v>
      </c>
    </row>
    <row r="30" spans="2:17" x14ac:dyDescent="0.2">
      <c r="B30" s="43"/>
      <c r="C30" s="43" t="s">
        <v>221</v>
      </c>
      <c r="E30" s="43">
        <v>57615826</v>
      </c>
      <c r="F30" s="43">
        <v>53007732</v>
      </c>
      <c r="G30" s="43">
        <v>46826511</v>
      </c>
      <c r="H30" s="57">
        <v>39623331</v>
      </c>
      <c r="I30" s="57">
        <v>32432435</v>
      </c>
    </row>
    <row r="31" spans="2:17" x14ac:dyDescent="0.2">
      <c r="B31" s="43"/>
      <c r="C31" s="43" t="s">
        <v>222</v>
      </c>
      <c r="E31" s="43">
        <v>23062505</v>
      </c>
      <c r="F31" s="43">
        <v>23042730</v>
      </c>
      <c r="G31" s="43">
        <v>23844492</v>
      </c>
      <c r="H31" s="57">
        <v>25146006</v>
      </c>
      <c r="I31" s="57">
        <v>25275030</v>
      </c>
    </row>
    <row r="32" spans="2:17" x14ac:dyDescent="0.2">
      <c r="B32" s="43" t="s">
        <v>223</v>
      </c>
      <c r="C32" s="43" t="s">
        <v>224</v>
      </c>
      <c r="E32" s="43">
        <v>174475669</v>
      </c>
      <c r="F32" s="43">
        <v>176285873</v>
      </c>
      <c r="G32" s="43">
        <v>174884654</v>
      </c>
      <c r="H32" s="57">
        <v>202238138</v>
      </c>
      <c r="I32" s="57">
        <v>179427976</v>
      </c>
      <c r="L32" s="57" t="s">
        <v>3170</v>
      </c>
      <c r="O32" s="57" t="s">
        <v>3169</v>
      </c>
      <c r="P32" s="57"/>
      <c r="Q32" s="57"/>
    </row>
    <row r="33" spans="2:18" ht="102" x14ac:dyDescent="0.2">
      <c r="B33" s="43"/>
      <c r="C33" s="43" t="s">
        <v>225</v>
      </c>
      <c r="E33" s="43">
        <v>57739388</v>
      </c>
      <c r="F33" s="43">
        <v>53138058</v>
      </c>
      <c r="G33" s="43">
        <v>44140850</v>
      </c>
      <c r="H33" s="57">
        <v>37812249</v>
      </c>
      <c r="I33" s="57">
        <v>29606500</v>
      </c>
      <c r="L33" s="57" t="s">
        <v>3168</v>
      </c>
      <c r="M33" s="57" t="s">
        <v>3329</v>
      </c>
      <c r="N33" s="57" t="s">
        <v>3330</v>
      </c>
      <c r="O33" s="57" t="s">
        <v>3168</v>
      </c>
      <c r="P33" s="70" t="s">
        <v>3329</v>
      </c>
      <c r="Q33" s="70" t="s">
        <v>3330</v>
      </c>
      <c r="R33" s="70" t="s">
        <v>3332</v>
      </c>
    </row>
    <row r="34" spans="2:18" x14ac:dyDescent="0.2">
      <c r="B34" s="43"/>
      <c r="C34" s="43" t="s">
        <v>226</v>
      </c>
      <c r="E34" s="43">
        <v>23006575</v>
      </c>
      <c r="F34" s="43">
        <v>21482657</v>
      </c>
      <c r="G34" s="43">
        <v>21888571</v>
      </c>
      <c r="H34" s="57">
        <v>33853278</v>
      </c>
      <c r="I34" s="57">
        <v>39437065</v>
      </c>
      <c r="K34" s="227">
        <v>2010</v>
      </c>
      <c r="L34" s="210">
        <f>+L7</f>
        <v>9.2795802829999996</v>
      </c>
      <c r="M34" s="210">
        <f>+M7-H200/1000000000</f>
        <v>1.5977940017947998</v>
      </c>
      <c r="N34" s="210">
        <f>+N7</f>
        <v>0.52278574594890026</v>
      </c>
      <c r="O34" s="57" t="str">
        <f t="shared" ref="O34:Q38" si="7">CONCATENATE(TEXT(L34,"$0.0"),"/",TEXT(L34/($L34+$M34+$N34),"0%"))</f>
        <v>$9.3/81%</v>
      </c>
      <c r="P34" s="57" t="str">
        <f t="shared" si="7"/>
        <v>$1.6/14%</v>
      </c>
      <c r="Q34" s="57" t="str">
        <f t="shared" si="7"/>
        <v>$0.5/5%</v>
      </c>
    </row>
    <row r="35" spans="2:18" x14ac:dyDescent="0.2">
      <c r="B35" s="43" t="s">
        <v>227</v>
      </c>
      <c r="C35" s="43" t="s">
        <v>228</v>
      </c>
      <c r="E35" s="43">
        <v>682072596</v>
      </c>
      <c r="F35" s="43">
        <v>319784760</v>
      </c>
      <c r="G35" s="43">
        <v>665470659</v>
      </c>
      <c r="H35" s="57">
        <v>835987807</v>
      </c>
      <c r="I35" s="57">
        <v>732151104</v>
      </c>
      <c r="K35" s="227">
        <v>2012</v>
      </c>
      <c r="L35" s="210">
        <f>+L8</f>
        <v>7.9374175530000004</v>
      </c>
      <c r="M35" s="210">
        <f>+M8-G200/1000000000</f>
        <v>1.5329544325277995</v>
      </c>
      <c r="N35" s="210">
        <f>+N8</f>
        <v>2.0788425012476006</v>
      </c>
      <c r="O35" s="57" t="str">
        <f t="shared" si="7"/>
        <v>$7.9/69%</v>
      </c>
      <c r="P35" s="57" t="str">
        <f t="shared" si="7"/>
        <v>$1.5/13%</v>
      </c>
      <c r="Q35" s="57" t="str">
        <f t="shared" si="7"/>
        <v>$2.1/18%</v>
      </c>
      <c r="R35" s="230">
        <f>+(($L$34/SUM($L$34:$N$34))/(L35/(SUM(L35:N35)))-1)*L35</f>
        <v>1.463491096229508</v>
      </c>
    </row>
    <row r="36" spans="2:18" x14ac:dyDescent="0.2">
      <c r="B36" s="43"/>
      <c r="C36" s="43" t="s">
        <v>229</v>
      </c>
      <c r="E36" s="43">
        <v>15955826</v>
      </c>
      <c r="F36" s="43">
        <v>10668521</v>
      </c>
      <c r="G36" s="43">
        <v>16353336</v>
      </c>
      <c r="H36" s="57">
        <v>13898599</v>
      </c>
      <c r="I36" s="57">
        <v>11536047</v>
      </c>
      <c r="K36" s="227">
        <v>2014</v>
      </c>
      <c r="L36" s="210">
        <f>+L9</f>
        <v>11.765543824</v>
      </c>
      <c r="M36" s="210">
        <f>+M9-F200/1000000000</f>
        <v>1.7533340960550001</v>
      </c>
      <c r="N36" s="210">
        <f>+N9</f>
        <v>4.310751641281799</v>
      </c>
      <c r="O36" s="57" t="str">
        <f t="shared" si="7"/>
        <v>$11.8/66%</v>
      </c>
      <c r="P36" s="57" t="str">
        <f t="shared" si="7"/>
        <v>$1.8/10%</v>
      </c>
      <c r="Q36" s="57" t="str">
        <f t="shared" si="7"/>
        <v>$4.3/24%</v>
      </c>
      <c r="R36" s="230">
        <f>+(($L$34/SUM($L$34:$N$34))/(L36/(SUM(L36:N36)))-1)*L36</f>
        <v>2.7475400699443875</v>
      </c>
    </row>
    <row r="37" spans="2:18" x14ac:dyDescent="0.2">
      <c r="B37" s="43"/>
      <c r="C37" s="43" t="s">
        <v>230</v>
      </c>
      <c r="E37" s="43"/>
      <c r="F37" s="43">
        <v>0</v>
      </c>
      <c r="G37" s="43">
        <v>0</v>
      </c>
      <c r="H37" s="57">
        <v>0</v>
      </c>
      <c r="I37" s="57">
        <v>0</v>
      </c>
      <c r="K37" s="227">
        <v>2016</v>
      </c>
      <c r="L37" s="210">
        <f>+L10</f>
        <v>11.670893867</v>
      </c>
      <c r="M37" s="210">
        <f>+M10-E200/1000000000</f>
        <v>1.6393263389999992</v>
      </c>
      <c r="N37" s="210">
        <f>+N10</f>
        <v>1.9772634310149995</v>
      </c>
      <c r="O37" s="57" t="str">
        <f t="shared" si="7"/>
        <v>$11.7/76%</v>
      </c>
      <c r="P37" s="57" t="str">
        <f t="shared" si="7"/>
        <v>$1.6/11%</v>
      </c>
      <c r="Q37" s="57" t="str">
        <f t="shared" si="7"/>
        <v>$2.0/13%</v>
      </c>
      <c r="R37" s="230">
        <f>+(($L$34/SUM($L$34:$N$34))/(L37/(SUM(L37:N37)))-1)*L37</f>
        <v>0.77291668935717039</v>
      </c>
    </row>
    <row r="38" spans="2:18" x14ac:dyDescent="0.2">
      <c r="B38" s="43"/>
      <c r="C38" s="43" t="s">
        <v>231</v>
      </c>
      <c r="E38" s="43">
        <v>3039041</v>
      </c>
      <c r="F38" s="43">
        <v>3514634</v>
      </c>
      <c r="G38" s="43">
        <v>3524014</v>
      </c>
      <c r="H38" s="57">
        <v>5965791</v>
      </c>
      <c r="I38" s="57">
        <v>3408691</v>
      </c>
      <c r="K38" s="227">
        <v>2018</v>
      </c>
      <c r="L38" s="210">
        <f>+L11</f>
        <v>12.891038140999999</v>
      </c>
      <c r="M38" s="210">
        <f>+M11-D200/1000000000</f>
        <v>1.5842200000000002</v>
      </c>
      <c r="N38" s="210">
        <f>+N11</f>
        <v>4.3999071819999998</v>
      </c>
      <c r="O38" s="57" t="str">
        <f t="shared" si="7"/>
        <v>$12.9/68%</v>
      </c>
      <c r="P38" s="57" t="str">
        <f t="shared" si="7"/>
        <v>$1.6/8%</v>
      </c>
      <c r="Q38" s="57" t="str">
        <f t="shared" si="7"/>
        <v>$4.4/23%</v>
      </c>
      <c r="R38" s="230">
        <f>+(($L$34/SUM($L$34:$N$34))/(L38/(SUM(L38:N38)))-1)*L38</f>
        <v>2.4730981077303453</v>
      </c>
    </row>
    <row r="39" spans="2:18" x14ac:dyDescent="0.2">
      <c r="B39" s="43" t="s">
        <v>223</v>
      </c>
      <c r="C39" s="43" t="s">
        <v>232</v>
      </c>
      <c r="E39" s="43">
        <v>58110570</v>
      </c>
      <c r="F39" s="43">
        <v>55107153</v>
      </c>
      <c r="G39" s="43">
        <v>35282886</v>
      </c>
      <c r="H39" s="57">
        <v>51125881</v>
      </c>
      <c r="I39" s="57">
        <v>46406857</v>
      </c>
    </row>
    <row r="40" spans="2:18" x14ac:dyDescent="0.2">
      <c r="B40" s="43" t="s">
        <v>227</v>
      </c>
      <c r="C40" s="43" t="s">
        <v>233</v>
      </c>
      <c r="E40" s="43">
        <v>470795122</v>
      </c>
      <c r="F40" s="43">
        <v>525352182</v>
      </c>
      <c r="G40" s="43">
        <v>531662140</v>
      </c>
      <c r="H40" s="57">
        <v>443053733</v>
      </c>
      <c r="I40" s="57">
        <v>216399585</v>
      </c>
    </row>
    <row r="41" spans="2:18" x14ac:dyDescent="0.2">
      <c r="B41" s="43"/>
      <c r="C41" s="43" t="s">
        <v>234</v>
      </c>
      <c r="E41" s="43">
        <v>1563611</v>
      </c>
      <c r="F41" s="43">
        <v>2102298</v>
      </c>
      <c r="G41" s="43">
        <v>2605125</v>
      </c>
      <c r="H41" s="57">
        <v>1471075</v>
      </c>
      <c r="I41" s="57">
        <v>1548500</v>
      </c>
    </row>
    <row r="42" spans="2:18" x14ac:dyDescent="0.2">
      <c r="B42" s="43"/>
      <c r="C42" s="43" t="s">
        <v>235</v>
      </c>
      <c r="E42" s="43">
        <v>17394</v>
      </c>
      <c r="F42" s="43">
        <v>18132</v>
      </c>
      <c r="G42" s="43">
        <v>35905</v>
      </c>
      <c r="H42" s="57">
        <v>28474</v>
      </c>
      <c r="I42" s="57">
        <v>50882</v>
      </c>
    </row>
    <row r="43" spans="2:18" x14ac:dyDescent="0.2">
      <c r="B43" s="43"/>
      <c r="C43" s="43" t="s">
        <v>236</v>
      </c>
      <c r="E43" s="43">
        <v>101233</v>
      </c>
      <c r="F43" s="43">
        <v>63687</v>
      </c>
      <c r="G43" s="43">
        <v>103073</v>
      </c>
      <c r="H43" s="57">
        <v>124578</v>
      </c>
      <c r="I43" s="57">
        <v>146341</v>
      </c>
    </row>
    <row r="44" spans="2:18" x14ac:dyDescent="0.2">
      <c r="B44" s="43"/>
      <c r="C44" s="43" t="s">
        <v>237</v>
      </c>
      <c r="E44" s="43">
        <v>138598420</v>
      </c>
      <c r="F44" s="43">
        <v>132035242</v>
      </c>
      <c r="G44" s="43">
        <v>122621629</v>
      </c>
      <c r="H44" s="57">
        <v>123899479</v>
      </c>
      <c r="I44" s="57">
        <v>118186863</v>
      </c>
    </row>
    <row r="45" spans="2:18" x14ac:dyDescent="0.2">
      <c r="B45" s="43"/>
      <c r="C45" s="43" t="s">
        <v>238</v>
      </c>
      <c r="E45" s="43">
        <v>275704079</v>
      </c>
      <c r="F45" s="43">
        <v>255466020</v>
      </c>
      <c r="G45" s="43">
        <v>224916167</v>
      </c>
      <c r="H45" s="57">
        <v>199583283</v>
      </c>
      <c r="I45" s="57">
        <v>158127333</v>
      </c>
    </row>
    <row r="46" spans="2:18" x14ac:dyDescent="0.2">
      <c r="B46" s="43"/>
      <c r="C46" s="43" t="s">
        <v>239</v>
      </c>
      <c r="E46" s="43"/>
      <c r="F46" s="43">
        <v>0</v>
      </c>
      <c r="G46" s="43">
        <v>0</v>
      </c>
      <c r="H46" s="57">
        <v>0</v>
      </c>
      <c r="I46" s="57">
        <v>0</v>
      </c>
    </row>
    <row r="47" spans="2:18" x14ac:dyDescent="0.2">
      <c r="B47" s="43"/>
      <c r="C47" s="43" t="s">
        <v>240</v>
      </c>
      <c r="E47" s="43">
        <v>7563689</v>
      </c>
      <c r="F47" s="43">
        <v>9000000</v>
      </c>
      <c r="G47" s="43">
        <v>10255849</v>
      </c>
      <c r="H47" s="57">
        <v>8696068</v>
      </c>
      <c r="I47" s="57">
        <v>7466063</v>
      </c>
    </row>
    <row r="48" spans="2:18" x14ac:dyDescent="0.2">
      <c r="B48" s="43" t="s">
        <v>241</v>
      </c>
      <c r="C48" s="43" t="s">
        <v>242</v>
      </c>
      <c r="E48" s="43">
        <v>767449506</v>
      </c>
      <c r="F48" s="43">
        <v>757022625</v>
      </c>
      <c r="G48" s="43">
        <v>784902618</v>
      </c>
      <c r="H48" s="57">
        <v>689256422</v>
      </c>
      <c r="I48" s="57">
        <v>579341760</v>
      </c>
    </row>
    <row r="49" spans="2:9" x14ac:dyDescent="0.2">
      <c r="B49" s="43"/>
      <c r="C49" s="43" t="s">
        <v>243</v>
      </c>
      <c r="E49" s="43">
        <v>45868</v>
      </c>
      <c r="F49" s="43">
        <v>47629</v>
      </c>
      <c r="G49" s="43">
        <v>46802</v>
      </c>
      <c r="H49" s="57">
        <v>43931</v>
      </c>
      <c r="I49" s="57">
        <v>37697</v>
      </c>
    </row>
    <row r="50" spans="2:9" x14ac:dyDescent="0.2">
      <c r="B50" s="43"/>
      <c r="C50" s="43" t="s">
        <v>244</v>
      </c>
      <c r="E50" s="43">
        <v>8185</v>
      </c>
      <c r="F50" s="43">
        <v>10494</v>
      </c>
      <c r="G50" s="43">
        <v>11793</v>
      </c>
      <c r="H50" s="57">
        <v>8636</v>
      </c>
      <c r="I50" s="57">
        <v>6616</v>
      </c>
    </row>
    <row r="51" spans="2:9" x14ac:dyDescent="0.2">
      <c r="B51" s="43" t="s">
        <v>245</v>
      </c>
      <c r="C51" s="43" t="s">
        <v>246</v>
      </c>
      <c r="E51" s="43">
        <v>7579</v>
      </c>
      <c r="F51" s="43">
        <v>67871</v>
      </c>
      <c r="G51" s="43">
        <v>24381</v>
      </c>
      <c r="H51" s="57">
        <v>36166</v>
      </c>
      <c r="I51" s="57">
        <v>25737</v>
      </c>
    </row>
    <row r="52" spans="2:9" x14ac:dyDescent="0.2">
      <c r="B52" s="43"/>
      <c r="C52" s="43" t="s">
        <v>247</v>
      </c>
      <c r="E52" s="43">
        <v>66828</v>
      </c>
      <c r="F52" s="43">
        <v>97846</v>
      </c>
      <c r="G52" s="43">
        <v>86711</v>
      </c>
      <c r="H52" s="57">
        <v>86776</v>
      </c>
      <c r="I52" s="57">
        <v>207143</v>
      </c>
    </row>
    <row r="53" spans="2:9" x14ac:dyDescent="0.2">
      <c r="B53" s="43"/>
      <c r="C53" s="43" t="s">
        <v>248</v>
      </c>
      <c r="E53" s="43">
        <v>123282835</v>
      </c>
      <c r="F53" s="43">
        <v>102239829</v>
      </c>
      <c r="G53" s="43">
        <v>118640163</v>
      </c>
      <c r="H53" s="57">
        <v>110161493</v>
      </c>
      <c r="I53" s="57">
        <v>101467990</v>
      </c>
    </row>
    <row r="54" spans="2:9" x14ac:dyDescent="0.2">
      <c r="B54" s="43"/>
      <c r="C54" s="43" t="s">
        <v>249</v>
      </c>
      <c r="E54" s="43">
        <v>316317856</v>
      </c>
      <c r="F54" s="43">
        <v>328644822</v>
      </c>
      <c r="G54" s="43">
        <v>299518302</v>
      </c>
      <c r="H54" s="57">
        <v>298867068</v>
      </c>
      <c r="I54" s="57">
        <v>299670523</v>
      </c>
    </row>
    <row r="55" spans="2:9" x14ac:dyDescent="0.2">
      <c r="B55" s="43"/>
      <c r="C55" s="43" t="s">
        <v>250</v>
      </c>
      <c r="E55" s="43">
        <v>0</v>
      </c>
      <c r="F55" s="43">
        <v>0</v>
      </c>
      <c r="G55" s="43">
        <v>0</v>
      </c>
      <c r="H55" s="57">
        <v>0</v>
      </c>
      <c r="I55" s="57">
        <v>0</v>
      </c>
    </row>
    <row r="56" spans="2:9" x14ac:dyDescent="0.2">
      <c r="B56" s="43" t="s">
        <v>251</v>
      </c>
      <c r="C56" s="43" t="s">
        <v>252</v>
      </c>
      <c r="E56" s="43">
        <v>3705430486</v>
      </c>
      <c r="F56" s="43">
        <v>3508565822</v>
      </c>
      <c r="G56" s="43">
        <v>3501256999</v>
      </c>
      <c r="H56" s="57">
        <v>2703844</v>
      </c>
      <c r="I56" s="57">
        <v>2224782534</v>
      </c>
    </row>
    <row r="57" spans="2:9" x14ac:dyDescent="0.2">
      <c r="B57" s="43"/>
      <c r="C57" s="43" t="s">
        <v>253</v>
      </c>
      <c r="E57" s="43">
        <v>0</v>
      </c>
      <c r="F57" s="43">
        <v>256834</v>
      </c>
      <c r="G57" s="43">
        <v>1056925</v>
      </c>
      <c r="H57" s="57">
        <v>135523</v>
      </c>
      <c r="I57" s="57">
        <v>22702024</v>
      </c>
    </row>
    <row r="58" spans="2:9" x14ac:dyDescent="0.2">
      <c r="B58" s="43" t="s">
        <v>245</v>
      </c>
      <c r="C58" s="43" t="s">
        <v>254</v>
      </c>
      <c r="E58" s="43">
        <v>2550743750</v>
      </c>
      <c r="F58" s="43">
        <v>2259953934</v>
      </c>
      <c r="G58" s="43">
        <v>2345434770</v>
      </c>
      <c r="H58" s="57">
        <v>2190600218</v>
      </c>
      <c r="I58" s="57">
        <v>1815321356</v>
      </c>
    </row>
    <row r="59" spans="2:9" x14ac:dyDescent="0.2">
      <c r="B59" s="43"/>
      <c r="C59" s="43" t="s">
        <v>255</v>
      </c>
      <c r="E59" s="43">
        <v>21106890</v>
      </c>
      <c r="F59" s="43">
        <v>17870740</v>
      </c>
      <c r="G59" s="43">
        <v>16295363</v>
      </c>
      <c r="H59" s="57">
        <v>12570516</v>
      </c>
      <c r="I59" s="57">
        <v>11321014</v>
      </c>
    </row>
    <row r="60" spans="2:9" x14ac:dyDescent="0.2">
      <c r="B60" s="43" t="s">
        <v>245</v>
      </c>
      <c r="C60" s="43" t="s">
        <v>256</v>
      </c>
      <c r="E60" s="43">
        <v>278444628</v>
      </c>
      <c r="F60" s="43">
        <v>203151028</v>
      </c>
      <c r="G60" s="43">
        <v>235463183</v>
      </c>
      <c r="H60" s="57">
        <v>209321312</v>
      </c>
      <c r="I60" s="57">
        <v>152987698</v>
      </c>
    </row>
    <row r="61" spans="2:9" x14ac:dyDescent="0.2">
      <c r="B61" s="43"/>
      <c r="C61" s="43" t="s">
        <v>257</v>
      </c>
      <c r="E61" s="43">
        <v>3683481</v>
      </c>
      <c r="F61" s="43">
        <v>4652043</v>
      </c>
      <c r="G61" s="43">
        <v>3748715</v>
      </c>
      <c r="H61" s="57">
        <v>5703459</v>
      </c>
      <c r="I61" s="57">
        <v>4695452</v>
      </c>
    </row>
    <row r="62" spans="2:9" x14ac:dyDescent="0.2">
      <c r="B62" s="43"/>
      <c r="C62" s="43" t="s">
        <v>258</v>
      </c>
      <c r="E62" s="43">
        <v>1085411</v>
      </c>
      <c r="F62" s="43">
        <v>1153534</v>
      </c>
      <c r="G62" s="43">
        <v>1106326</v>
      </c>
      <c r="H62" s="57">
        <v>1378978</v>
      </c>
      <c r="I62" s="57">
        <v>1288541</v>
      </c>
    </row>
    <row r="63" spans="2:9" x14ac:dyDescent="0.2">
      <c r="B63" s="43"/>
      <c r="C63" s="43" t="s">
        <v>259</v>
      </c>
      <c r="E63" s="43">
        <v>10641</v>
      </c>
      <c r="F63" s="43">
        <v>9251</v>
      </c>
      <c r="G63" s="43">
        <v>7063</v>
      </c>
      <c r="H63" s="57">
        <v>8582</v>
      </c>
      <c r="I63" s="57">
        <v>29979</v>
      </c>
    </row>
    <row r="64" spans="2:9" x14ac:dyDescent="0.2">
      <c r="B64" s="43"/>
      <c r="C64" s="43" t="s">
        <v>260</v>
      </c>
      <c r="E64" s="43">
        <v>0</v>
      </c>
      <c r="F64" s="43">
        <v>0</v>
      </c>
      <c r="G64" s="43">
        <v>0</v>
      </c>
      <c r="H64" s="57">
        <v>0</v>
      </c>
      <c r="I64" s="57">
        <v>0</v>
      </c>
    </row>
    <row r="65" spans="2:9" x14ac:dyDescent="0.2">
      <c r="B65" s="43"/>
      <c r="C65" s="43" t="s">
        <v>261</v>
      </c>
      <c r="E65" s="43">
        <v>1016667</v>
      </c>
      <c r="F65" s="43">
        <v>850453</v>
      </c>
      <c r="G65" s="43">
        <v>837888</v>
      </c>
      <c r="H65" s="57">
        <v>666388</v>
      </c>
      <c r="I65" s="57">
        <v>530685</v>
      </c>
    </row>
    <row r="66" spans="2:9" x14ac:dyDescent="0.2">
      <c r="B66" s="43"/>
      <c r="C66" s="43" t="s">
        <v>262</v>
      </c>
      <c r="E66" s="43">
        <v>43767547</v>
      </c>
      <c r="F66" s="43">
        <v>40484648</v>
      </c>
      <c r="G66" s="43">
        <v>41414853</v>
      </c>
      <c r="H66" s="57">
        <v>35609074</v>
      </c>
      <c r="I66" s="57">
        <v>30529958</v>
      </c>
    </row>
    <row r="67" spans="2:9" x14ac:dyDescent="0.2">
      <c r="B67" s="43"/>
      <c r="C67" s="43" t="s">
        <v>263</v>
      </c>
      <c r="E67" s="43">
        <v>285923</v>
      </c>
      <c r="F67" s="43">
        <v>490121</v>
      </c>
      <c r="G67" s="43">
        <v>641376</v>
      </c>
      <c r="H67" s="57">
        <v>708700</v>
      </c>
      <c r="I67" s="57">
        <v>838202</v>
      </c>
    </row>
    <row r="68" spans="2:9" x14ac:dyDescent="0.2">
      <c r="B68" s="43"/>
      <c r="C68" s="43" t="s">
        <v>264</v>
      </c>
      <c r="E68" s="43">
        <v>0</v>
      </c>
      <c r="F68" s="43">
        <v>0</v>
      </c>
      <c r="G68" s="43">
        <v>0</v>
      </c>
      <c r="H68" s="57">
        <v>0</v>
      </c>
      <c r="I68" s="57">
        <v>0</v>
      </c>
    </row>
    <row r="69" spans="2:9" x14ac:dyDescent="0.2">
      <c r="B69" s="43"/>
      <c r="C69" s="43" t="s">
        <v>265</v>
      </c>
      <c r="E69" s="43">
        <v>10000000</v>
      </c>
      <c r="F69" s="43">
        <v>10000000</v>
      </c>
      <c r="G69" s="43">
        <v>10000000</v>
      </c>
      <c r="H69" s="57">
        <v>10000000</v>
      </c>
      <c r="I69" s="57">
        <v>10000000</v>
      </c>
    </row>
    <row r="70" spans="2:9" x14ac:dyDescent="0.2">
      <c r="B70" s="43"/>
      <c r="C70" s="43" t="s">
        <v>266</v>
      </c>
      <c r="E70" s="43">
        <v>0</v>
      </c>
      <c r="F70" s="43"/>
      <c r="G70" s="43"/>
    </row>
    <row r="71" spans="2:9" x14ac:dyDescent="0.2">
      <c r="B71" s="43"/>
      <c r="C71" s="43" t="s">
        <v>267</v>
      </c>
      <c r="E71" s="43">
        <v>46065</v>
      </c>
      <c r="F71" s="43">
        <v>209126</v>
      </c>
      <c r="G71" s="43">
        <v>0</v>
      </c>
      <c r="H71" s="57">
        <v>366977</v>
      </c>
      <c r="I71" s="57">
        <v>274693</v>
      </c>
    </row>
    <row r="72" spans="2:9" x14ac:dyDescent="0.2">
      <c r="B72" s="43"/>
      <c r="C72" s="43" t="s">
        <v>268</v>
      </c>
      <c r="E72" s="43">
        <v>26350294</v>
      </c>
      <c r="F72" s="43">
        <v>20940209</v>
      </c>
      <c r="G72" s="43">
        <v>23788180</v>
      </c>
      <c r="H72" s="57">
        <v>19140280</v>
      </c>
      <c r="I72" s="57">
        <v>14554103</v>
      </c>
    </row>
    <row r="73" spans="2:9" x14ac:dyDescent="0.2">
      <c r="B73" s="43" t="s">
        <v>269</v>
      </c>
      <c r="C73" s="43" t="s">
        <v>270</v>
      </c>
      <c r="E73" s="43">
        <v>3010000000</v>
      </c>
      <c r="F73" s="43">
        <v>2734000000</v>
      </c>
      <c r="G73" s="43">
        <v>2418000000</v>
      </c>
      <c r="H73" s="57">
        <v>2292000000</v>
      </c>
      <c r="I73" s="57">
        <v>2375000000</v>
      </c>
    </row>
    <row r="74" spans="2:9" x14ac:dyDescent="0.2">
      <c r="B74" s="43"/>
      <c r="C74" s="43"/>
      <c r="E74" s="43"/>
      <c r="F74" s="43"/>
      <c r="G74" s="43"/>
    </row>
    <row r="75" spans="2:9" x14ac:dyDescent="0.2">
      <c r="B75" s="43"/>
      <c r="C75" s="43" t="s">
        <v>271</v>
      </c>
      <c r="E75" s="43">
        <v>9881038141</v>
      </c>
      <c r="F75" s="43">
        <v>8936893867</v>
      </c>
      <c r="G75" s="43">
        <v>9347543824</v>
      </c>
      <c r="H75" s="57">
        <v>5645417553</v>
      </c>
      <c r="I75" s="57">
        <v>6904580283</v>
      </c>
    </row>
    <row r="76" spans="2:9" x14ac:dyDescent="0.2">
      <c r="B76" s="43"/>
      <c r="C76" s="43" t="s">
        <v>272</v>
      </c>
      <c r="E76" s="43">
        <v>12891038141</v>
      </c>
      <c r="F76" s="43">
        <v>11670893867</v>
      </c>
      <c r="G76" s="43">
        <v>11765543824</v>
      </c>
      <c r="H76" s="57">
        <v>7937417553</v>
      </c>
      <c r="I76" s="57">
        <v>9279580283</v>
      </c>
    </row>
    <row r="79" spans="2:9" x14ac:dyDescent="0.2">
      <c r="B79" s="68" t="s">
        <v>294</v>
      </c>
    </row>
    <row r="82" spans="2:11" x14ac:dyDescent="0.2">
      <c r="B82" s="37" t="s">
        <v>214</v>
      </c>
      <c r="C82" s="37" t="s">
        <v>516</v>
      </c>
      <c r="D82" s="57" t="s">
        <v>517</v>
      </c>
      <c r="E82" s="57" t="s">
        <v>518</v>
      </c>
      <c r="F82" s="57" t="s">
        <v>519</v>
      </c>
      <c r="G82" s="57" t="s">
        <v>520</v>
      </c>
      <c r="H82" s="57" t="s">
        <v>521</v>
      </c>
      <c r="I82" s="57" t="s">
        <v>522</v>
      </c>
      <c r="J82" s="57" t="s">
        <v>523</v>
      </c>
      <c r="K82" s="57" t="s">
        <v>281</v>
      </c>
    </row>
    <row r="83" spans="2:11" x14ac:dyDescent="0.2">
      <c r="B83" s="37" t="s">
        <v>524</v>
      </c>
      <c r="C83" s="57">
        <v>283840615</v>
      </c>
      <c r="D83" s="57">
        <v>240832000</v>
      </c>
      <c r="E83" s="57">
        <v>258686017</v>
      </c>
      <c r="F83" s="57">
        <v>209487000</v>
      </c>
      <c r="G83" s="57">
        <v>186525500</v>
      </c>
      <c r="H83" s="57">
        <v>189200650</v>
      </c>
      <c r="I83" s="57">
        <v>146614897</v>
      </c>
      <c r="J83" s="57">
        <v>99245607</v>
      </c>
      <c r="K83" s="57">
        <v>99245607</v>
      </c>
    </row>
    <row r="84" spans="2:11" x14ac:dyDescent="0.2">
      <c r="B84" s="37" t="s">
        <v>525</v>
      </c>
      <c r="C84" s="57">
        <v>866927000</v>
      </c>
      <c r="D84" s="57">
        <v>878989000</v>
      </c>
      <c r="E84" s="57">
        <v>1046299000</v>
      </c>
      <c r="F84" s="57">
        <v>1062080000</v>
      </c>
      <c r="G84" s="57">
        <v>952803000</v>
      </c>
      <c r="H84" s="57">
        <v>829391000</v>
      </c>
      <c r="I84" s="57">
        <v>700346000</v>
      </c>
      <c r="J84" s="57">
        <v>572632585</v>
      </c>
      <c r="K84" s="57">
        <v>572632585</v>
      </c>
    </row>
    <row r="85" spans="2:11" x14ac:dyDescent="0.2">
      <c r="B85" s="37" t="s">
        <v>526</v>
      </c>
      <c r="C85" s="57">
        <v>453973000</v>
      </c>
      <c r="D85" s="57">
        <v>413518000</v>
      </c>
      <c r="E85" s="57">
        <v>428707000</v>
      </c>
      <c r="F85" s="57">
        <v>390843000</v>
      </c>
      <c r="G85" s="57">
        <v>365446000</v>
      </c>
      <c r="H85" s="57">
        <v>319210000</v>
      </c>
      <c r="I85" s="57">
        <v>287335000</v>
      </c>
      <c r="J85" s="57">
        <v>282077570</v>
      </c>
      <c r="K85" s="57">
        <v>282077570</v>
      </c>
    </row>
    <row r="86" spans="2:11" x14ac:dyDescent="0.2">
      <c r="B86" s="37" t="s">
        <v>527</v>
      </c>
      <c r="C86" s="57">
        <v>54863000</v>
      </c>
      <c r="D86" s="57">
        <v>36406000</v>
      </c>
      <c r="E86" s="57">
        <v>63587000</v>
      </c>
      <c r="F86" s="57">
        <v>99863000</v>
      </c>
      <c r="G86" s="57">
        <v>47618000</v>
      </c>
      <c r="H86" s="57">
        <v>85518000</v>
      </c>
      <c r="I86" s="57">
        <v>194016147.97999999</v>
      </c>
      <c r="J86" s="57">
        <v>47078656</v>
      </c>
      <c r="K86" s="57">
        <v>47078656</v>
      </c>
    </row>
    <row r="87" spans="2:11" x14ac:dyDescent="0.2">
      <c r="B87" s="37" t="s">
        <v>528</v>
      </c>
      <c r="C87" s="57">
        <v>9183395000</v>
      </c>
      <c r="D87" s="57">
        <v>9848953000</v>
      </c>
      <c r="E87" s="57">
        <v>7535396539</v>
      </c>
      <c r="F87" s="57">
        <v>8015944542</v>
      </c>
      <c r="G87" s="57">
        <v>6716510500</v>
      </c>
      <c r="H87" s="57">
        <v>4215193000</v>
      </c>
      <c r="I87" s="57">
        <v>3862190000</v>
      </c>
      <c r="J87" s="57">
        <v>2962732000</v>
      </c>
      <c r="K87" s="57">
        <v>2962732000</v>
      </c>
    </row>
    <row r="88" spans="2:11" x14ac:dyDescent="0.2">
      <c r="B88" s="37" t="s">
        <v>529</v>
      </c>
      <c r="C88" s="57"/>
      <c r="D88" s="57">
        <v>108328422</v>
      </c>
      <c r="E88" s="57">
        <v>104501679.01499999</v>
      </c>
      <c r="F88" s="57">
        <v>99843669.336799994</v>
      </c>
      <c r="G88" s="57">
        <v>97768180.775399998</v>
      </c>
      <c r="H88" s="57">
        <v>16913854.743700001</v>
      </c>
      <c r="I88" s="57">
        <v>13424755.375</v>
      </c>
      <c r="J88" s="57">
        <v>84767512</v>
      </c>
      <c r="K88" s="57">
        <v>84767512</v>
      </c>
    </row>
    <row r="89" spans="2:11" x14ac:dyDescent="0.2">
      <c r="B89" s="37" t="s">
        <v>530</v>
      </c>
      <c r="C89" s="57"/>
      <c r="D89" s="57">
        <v>135537360</v>
      </c>
      <c r="E89" s="57">
        <v>80262030</v>
      </c>
      <c r="F89" s="57">
        <v>64356276</v>
      </c>
      <c r="G89" s="57">
        <v>37828753</v>
      </c>
      <c r="H89" s="57">
        <v>36145243</v>
      </c>
      <c r="I89" s="57">
        <v>44825245</v>
      </c>
      <c r="J89" s="57">
        <v>48192459</v>
      </c>
      <c r="K89" s="57">
        <v>48192459</v>
      </c>
    </row>
    <row r="90" spans="2:11" x14ac:dyDescent="0.2">
      <c r="B90" s="37" t="s">
        <v>531</v>
      </c>
      <c r="C90" s="57">
        <v>10578000</v>
      </c>
      <c r="D90" s="57">
        <v>11885000</v>
      </c>
      <c r="E90" s="57">
        <v>11280505</v>
      </c>
      <c r="F90" s="57">
        <v>17043400</v>
      </c>
      <c r="G90" s="57">
        <v>13488000</v>
      </c>
      <c r="H90" s="57">
        <v>13123000</v>
      </c>
      <c r="I90" s="57">
        <v>6214094</v>
      </c>
      <c r="J90" s="57">
        <v>6895337</v>
      </c>
      <c r="K90" s="57">
        <v>6895337</v>
      </c>
    </row>
    <row r="91" spans="2:11" x14ac:dyDescent="0.2">
      <c r="B91" s="37" t="s">
        <v>532</v>
      </c>
      <c r="C91" s="57">
        <v>240134000</v>
      </c>
      <c r="D91" s="57">
        <v>260939000</v>
      </c>
      <c r="E91" s="57">
        <v>257458000</v>
      </c>
      <c r="F91" s="57">
        <v>274959000</v>
      </c>
      <c r="G91" s="57">
        <v>189496000</v>
      </c>
      <c r="H91" s="57">
        <v>119248000</v>
      </c>
      <c r="I91" s="57">
        <v>190806262</v>
      </c>
      <c r="J91" s="57">
        <v>162848395</v>
      </c>
      <c r="K91" s="57">
        <v>218345545</v>
      </c>
    </row>
    <row r="92" spans="2:11" x14ac:dyDescent="0.2">
      <c r="B92" s="37" t="s">
        <v>533</v>
      </c>
      <c r="C92" s="57">
        <v>49486000</v>
      </c>
      <c r="D92" s="57">
        <v>75292400</v>
      </c>
      <c r="E92" s="57">
        <v>59881000</v>
      </c>
      <c r="F92" s="57">
        <v>0</v>
      </c>
      <c r="G92" s="57">
        <v>0</v>
      </c>
      <c r="H92" s="57">
        <v>0</v>
      </c>
      <c r="I92" s="57">
        <v>0</v>
      </c>
      <c r="J92" s="57">
        <v>0</v>
      </c>
      <c r="K92" s="57">
        <v>0</v>
      </c>
    </row>
    <row r="93" spans="2:11" x14ac:dyDescent="0.2">
      <c r="B93" s="37" t="s">
        <v>534</v>
      </c>
      <c r="C93" s="57">
        <v>0</v>
      </c>
      <c r="D93" s="57">
        <v>0</v>
      </c>
      <c r="E93" s="57">
        <v>0</v>
      </c>
      <c r="F93" s="57">
        <v>0</v>
      </c>
      <c r="G93" s="57">
        <v>0</v>
      </c>
      <c r="H93" s="57">
        <v>51010000</v>
      </c>
      <c r="I93" s="57">
        <v>38381000</v>
      </c>
      <c r="J93" s="57">
        <v>35441785</v>
      </c>
      <c r="K93" s="57">
        <v>35441785</v>
      </c>
    </row>
    <row r="94" spans="2:11" x14ac:dyDescent="0.2">
      <c r="B94" s="37" t="s">
        <v>535</v>
      </c>
      <c r="C94" s="57">
        <v>260324000</v>
      </c>
      <c r="D94" s="57">
        <v>30629000</v>
      </c>
      <c r="E94" s="57">
        <v>482655000</v>
      </c>
      <c r="F94" s="57">
        <v>464525850</v>
      </c>
      <c r="G94" s="57">
        <v>214244000</v>
      </c>
      <c r="H94" s="57">
        <v>156079000</v>
      </c>
      <c r="I94" s="57">
        <v>88162100</v>
      </c>
      <c r="J94" s="57">
        <v>118162500</v>
      </c>
      <c r="K94" s="57">
        <v>118162500</v>
      </c>
    </row>
    <row r="95" spans="2:11" x14ac:dyDescent="0.2">
      <c r="B95" s="37" t="s">
        <v>536</v>
      </c>
      <c r="C95" s="57">
        <v>1464000</v>
      </c>
      <c r="D95" s="57">
        <v>1167000</v>
      </c>
      <c r="E95" s="57">
        <v>1689000</v>
      </c>
      <c r="F95" s="57">
        <v>0</v>
      </c>
      <c r="G95" s="57">
        <v>0</v>
      </c>
      <c r="H95" s="57">
        <v>2195000</v>
      </c>
      <c r="I95" s="57">
        <v>445000</v>
      </c>
      <c r="J95" s="57">
        <v>48000</v>
      </c>
      <c r="K95" s="57">
        <v>48000</v>
      </c>
    </row>
    <row r="96" spans="2:11" x14ac:dyDescent="0.2">
      <c r="B96" s="37" t="s">
        <v>537</v>
      </c>
      <c r="C96" s="57">
        <v>11000</v>
      </c>
      <c r="D96" s="57">
        <v>6000</v>
      </c>
      <c r="E96" s="57">
        <v>10000</v>
      </c>
      <c r="F96" s="57">
        <v>0</v>
      </c>
      <c r="G96" s="57">
        <v>28000</v>
      </c>
      <c r="H96" s="57">
        <v>36278000</v>
      </c>
      <c r="I96" s="57">
        <v>97136000</v>
      </c>
      <c r="J96" s="57">
        <v>119908050</v>
      </c>
      <c r="K96" s="57">
        <v>140126050</v>
      </c>
    </row>
    <row r="97" spans="2:14" x14ac:dyDescent="0.2">
      <c r="B97" s="37" t="s">
        <v>538</v>
      </c>
      <c r="C97" s="57">
        <v>4000</v>
      </c>
      <c r="D97" s="57">
        <v>6000</v>
      </c>
      <c r="E97" s="57">
        <v>6000</v>
      </c>
      <c r="F97" s="57">
        <v>0</v>
      </c>
      <c r="G97" s="57">
        <v>0</v>
      </c>
      <c r="H97" s="57">
        <v>6856000</v>
      </c>
      <c r="I97" s="57">
        <v>16546000</v>
      </c>
      <c r="J97" s="57">
        <v>20218000</v>
      </c>
      <c r="K97" s="57">
        <v>2243618</v>
      </c>
    </row>
    <row r="98" spans="2:14" x14ac:dyDescent="0.2">
      <c r="B98" s="37" t="s">
        <v>539</v>
      </c>
      <c r="C98" s="57">
        <v>0</v>
      </c>
      <c r="D98" s="57">
        <v>0</v>
      </c>
      <c r="E98" s="57">
        <v>0</v>
      </c>
      <c r="F98" s="57">
        <v>2306000</v>
      </c>
      <c r="G98" s="57">
        <v>361000</v>
      </c>
      <c r="H98" s="57">
        <v>1314000</v>
      </c>
      <c r="I98" s="57">
        <v>333000</v>
      </c>
      <c r="J98" s="57">
        <v>2243618</v>
      </c>
      <c r="K98" s="57">
        <v>32645</v>
      </c>
    </row>
    <row r="99" spans="2:14" x14ac:dyDescent="0.2">
      <c r="B99" s="37" t="s">
        <v>540</v>
      </c>
      <c r="C99" s="57">
        <v>34000</v>
      </c>
      <c r="D99" s="57">
        <v>29000</v>
      </c>
      <c r="E99" s="57">
        <v>30000</v>
      </c>
      <c r="F99" s="57">
        <v>24000</v>
      </c>
      <c r="G99" s="57">
        <v>29000</v>
      </c>
      <c r="H99" s="57">
        <v>22000</v>
      </c>
      <c r="I99" s="57">
        <v>21162</v>
      </c>
      <c r="J99" s="57">
        <v>32645</v>
      </c>
      <c r="K99" s="57">
        <v>738424</v>
      </c>
    </row>
    <row r="100" spans="2:14" x14ac:dyDescent="0.2">
      <c r="B100" s="37" t="s">
        <v>541</v>
      </c>
      <c r="C100" s="57">
        <v>479000</v>
      </c>
      <c r="D100">
        <v>667000</v>
      </c>
      <c r="E100" s="57">
        <v>354000</v>
      </c>
      <c r="F100" s="57">
        <v>369000</v>
      </c>
      <c r="G100" s="57">
        <v>351000</v>
      </c>
      <c r="H100" s="57">
        <v>365000</v>
      </c>
      <c r="I100" s="57">
        <v>633312</v>
      </c>
      <c r="J100" s="57">
        <v>738424</v>
      </c>
      <c r="K100" s="57">
        <v>223029413</v>
      </c>
    </row>
    <row r="101" spans="2:14" x14ac:dyDescent="0.2">
      <c r="B101" s="37" t="s">
        <v>223</v>
      </c>
      <c r="C101" s="57"/>
      <c r="D101" s="43"/>
      <c r="E101" s="57"/>
      <c r="F101" s="57"/>
      <c r="J101" s="57">
        <v>223029413</v>
      </c>
      <c r="K101" s="57">
        <v>4786292556</v>
      </c>
    </row>
    <row r="102" spans="2:14" x14ac:dyDescent="0.2">
      <c r="B102" t="s">
        <v>542</v>
      </c>
      <c r="C102" s="57">
        <v>11405512615</v>
      </c>
      <c r="D102" s="57">
        <v>12043184182</v>
      </c>
      <c r="E102" s="57">
        <v>10330802770.014999</v>
      </c>
      <c r="F102" s="104">
        <v>10701644737.3368</v>
      </c>
      <c r="G102" s="57">
        <v>8822496933.7754002</v>
      </c>
      <c r="H102" s="57">
        <v>6078061747.7437</v>
      </c>
      <c r="I102" s="57">
        <v>5687429975.3549995</v>
      </c>
      <c r="J102" s="57">
        <v>4786292556</v>
      </c>
    </row>
    <row r="103" spans="2:14" s="100" customFormat="1" x14ac:dyDescent="0.2">
      <c r="F103" s="47"/>
      <c r="G103" s="57"/>
      <c r="H103" s="57"/>
      <c r="I103" s="57"/>
      <c r="J103" s="57"/>
      <c r="K103" s="57"/>
      <c r="L103" s="57"/>
      <c r="M103" s="57"/>
      <c r="N103" s="57"/>
    </row>
    <row r="105" spans="2:14" x14ac:dyDescent="0.2">
      <c r="B105" s="68" t="s">
        <v>303</v>
      </c>
      <c r="F105" s="47"/>
      <c r="L105" s="57" t="s">
        <v>3319</v>
      </c>
    </row>
    <row r="106" spans="2:14" ht="15" x14ac:dyDescent="0.25">
      <c r="B106" s="40" t="s">
        <v>214</v>
      </c>
      <c r="C106" s="101" t="s">
        <v>304</v>
      </c>
      <c r="D106" s="57" t="s">
        <v>301</v>
      </c>
      <c r="E106" s="57" t="s">
        <v>275</v>
      </c>
      <c r="F106" s="57" t="s">
        <v>276</v>
      </c>
      <c r="G106" s="57" t="s">
        <v>277</v>
      </c>
      <c r="H106" s="57" t="s">
        <v>278</v>
      </c>
      <c r="I106" s="57" t="s">
        <v>279</v>
      </c>
      <c r="J106" s="57" t="s">
        <v>280</v>
      </c>
      <c r="K106" s="57" t="s">
        <v>281</v>
      </c>
    </row>
    <row r="107" spans="2:14" x14ac:dyDescent="0.2">
      <c r="B107" s="40" t="s">
        <v>305</v>
      </c>
      <c r="C107" s="40" t="s">
        <v>306</v>
      </c>
      <c r="D107" s="57">
        <v>43383000</v>
      </c>
      <c r="E107" s="57">
        <v>34971000</v>
      </c>
      <c r="F107" s="57">
        <v>33869000</v>
      </c>
      <c r="G107" s="57">
        <v>35641000</v>
      </c>
      <c r="H107" s="57">
        <v>31845000</v>
      </c>
      <c r="I107" s="57">
        <v>33987000</v>
      </c>
      <c r="J107" s="57">
        <v>33321000</v>
      </c>
      <c r="K107" s="57">
        <v>28225000</v>
      </c>
    </row>
    <row r="108" spans="2:14" x14ac:dyDescent="0.2">
      <c r="B108" s="40" t="s">
        <v>305</v>
      </c>
      <c r="C108" s="40" t="s">
        <v>307</v>
      </c>
      <c r="D108" s="57">
        <v>42927000</v>
      </c>
      <c r="E108" s="57">
        <v>23904000</v>
      </c>
      <c r="F108" s="57">
        <v>26994000</v>
      </c>
      <c r="G108" s="57">
        <v>27398000</v>
      </c>
      <c r="H108" s="57">
        <v>27497000</v>
      </c>
      <c r="I108" s="57">
        <v>28991000</v>
      </c>
      <c r="J108" s="57">
        <v>6029000</v>
      </c>
      <c r="K108" s="57">
        <v>5037000</v>
      </c>
      <c r="L108" s="57" t="s">
        <v>69</v>
      </c>
    </row>
    <row r="109" spans="2:14" x14ac:dyDescent="0.2">
      <c r="B109" s="40" t="s">
        <v>305</v>
      </c>
      <c r="C109" s="40" t="s">
        <v>308</v>
      </c>
      <c r="D109" s="57">
        <v>8988000</v>
      </c>
      <c r="E109" s="57">
        <v>7914000</v>
      </c>
      <c r="F109" s="57">
        <v>18405000</v>
      </c>
      <c r="G109" s="57">
        <v>10674000</v>
      </c>
      <c r="H109" s="57">
        <v>5454000</v>
      </c>
      <c r="I109" s="57">
        <v>15600000</v>
      </c>
      <c r="J109" s="57">
        <v>1274000</v>
      </c>
      <c r="K109" s="57">
        <v>0</v>
      </c>
    </row>
    <row r="110" spans="2:14" x14ac:dyDescent="0.2">
      <c r="B110" s="40" t="s">
        <v>305</v>
      </c>
      <c r="C110" s="40" t="s">
        <v>309</v>
      </c>
      <c r="D110" s="57">
        <v>0</v>
      </c>
      <c r="E110" s="57" t="s">
        <v>503</v>
      </c>
      <c r="F110" s="57" t="s">
        <v>503</v>
      </c>
      <c r="G110" s="57" t="s">
        <v>503</v>
      </c>
      <c r="H110" s="57" t="s">
        <v>503</v>
      </c>
      <c r="I110" s="57">
        <v>2000</v>
      </c>
      <c r="J110" s="57">
        <v>73774</v>
      </c>
    </row>
    <row r="111" spans="2:14" x14ac:dyDescent="0.2">
      <c r="B111" s="40" t="s">
        <v>305</v>
      </c>
      <c r="C111" s="40" t="s">
        <v>310</v>
      </c>
      <c r="D111" s="57">
        <v>34615</v>
      </c>
      <c r="E111" s="57">
        <v>56000</v>
      </c>
      <c r="F111" s="57">
        <v>48000</v>
      </c>
    </row>
    <row r="112" spans="2:14" x14ac:dyDescent="0.2">
      <c r="B112" s="40" t="s">
        <v>305</v>
      </c>
      <c r="C112" s="40" t="s">
        <v>311</v>
      </c>
      <c r="D112" s="57">
        <v>88028000</v>
      </c>
      <c r="E112" s="57">
        <v>81083000</v>
      </c>
      <c r="F112" s="57">
        <v>59749000</v>
      </c>
      <c r="G112" s="57">
        <v>18181000</v>
      </c>
      <c r="H112" s="57">
        <v>2917000</v>
      </c>
      <c r="I112" s="57">
        <v>1239000</v>
      </c>
      <c r="J112" s="57">
        <v>1493097</v>
      </c>
      <c r="K112" s="57">
        <v>0</v>
      </c>
    </row>
    <row r="113" spans="2:12" x14ac:dyDescent="0.2">
      <c r="B113" s="40" t="s">
        <v>305</v>
      </c>
      <c r="C113" s="40" t="s">
        <v>312</v>
      </c>
      <c r="D113" s="57">
        <v>1000</v>
      </c>
      <c r="E113" s="57">
        <v>1000</v>
      </c>
      <c r="F113" s="57">
        <v>179000</v>
      </c>
      <c r="G113" s="57">
        <v>605000</v>
      </c>
      <c r="H113" s="57">
        <v>1377000</v>
      </c>
      <c r="I113" s="57">
        <v>775000</v>
      </c>
      <c r="J113" s="57">
        <v>934096</v>
      </c>
    </row>
    <row r="114" spans="2:12" x14ac:dyDescent="0.2">
      <c r="B114" s="40" t="s">
        <v>305</v>
      </c>
      <c r="C114" s="40" t="s">
        <v>313</v>
      </c>
      <c r="D114" s="57">
        <v>0</v>
      </c>
      <c r="E114" s="57">
        <v>0</v>
      </c>
      <c r="F114" s="57">
        <v>0</v>
      </c>
      <c r="G114" s="57">
        <v>0</v>
      </c>
      <c r="H114" s="57">
        <v>0</v>
      </c>
      <c r="I114" s="57">
        <v>0</v>
      </c>
      <c r="J114" s="57">
        <v>0</v>
      </c>
      <c r="K114" s="57">
        <v>0</v>
      </c>
    </row>
    <row r="115" spans="2:12" x14ac:dyDescent="0.2">
      <c r="B115" s="40" t="s">
        <v>305</v>
      </c>
      <c r="C115" s="40" t="s">
        <v>314</v>
      </c>
      <c r="D115" s="57">
        <v>1920000</v>
      </c>
      <c r="E115" s="57">
        <v>7502000</v>
      </c>
      <c r="F115" s="57">
        <v>6661000</v>
      </c>
      <c r="G115" s="57">
        <v>3869000</v>
      </c>
      <c r="H115" s="57">
        <v>631000</v>
      </c>
      <c r="I115" s="57">
        <v>671000</v>
      </c>
      <c r="J115" s="57">
        <v>809121</v>
      </c>
    </row>
    <row r="116" spans="2:12" x14ac:dyDescent="0.2">
      <c r="B116" s="40" t="s">
        <v>305</v>
      </c>
      <c r="C116" s="40" t="s">
        <v>315</v>
      </c>
      <c r="D116" s="57">
        <v>16100000</v>
      </c>
      <c r="E116" s="57">
        <v>15978000</v>
      </c>
      <c r="F116" s="57">
        <v>41388000</v>
      </c>
      <c r="G116" s="57">
        <v>39126000</v>
      </c>
      <c r="H116" s="57">
        <v>38807000</v>
      </c>
      <c r="I116" s="57">
        <v>31887000</v>
      </c>
      <c r="J116" s="57">
        <v>30243000</v>
      </c>
      <c r="K116" s="57">
        <v>26661000</v>
      </c>
      <c r="L116" s="57" t="s">
        <v>69</v>
      </c>
    </row>
    <row r="117" spans="2:12" x14ac:dyDescent="0.2">
      <c r="B117" s="40" t="s">
        <v>305</v>
      </c>
      <c r="C117" s="40" t="s">
        <v>316</v>
      </c>
      <c r="D117" s="57">
        <v>666000</v>
      </c>
      <c r="E117" s="57">
        <v>639000</v>
      </c>
      <c r="F117" s="57">
        <v>690000</v>
      </c>
      <c r="G117" s="57">
        <v>479000</v>
      </c>
      <c r="H117" s="57">
        <v>514000</v>
      </c>
      <c r="I117" s="57">
        <v>364000</v>
      </c>
      <c r="J117" s="57">
        <v>439111</v>
      </c>
      <c r="K117" s="57">
        <v>122063</v>
      </c>
    </row>
    <row r="118" spans="2:12" x14ac:dyDescent="0.2">
      <c r="B118" s="40" t="s">
        <v>305</v>
      </c>
      <c r="C118" s="40" t="s">
        <v>317</v>
      </c>
      <c r="D118" s="57">
        <v>379000</v>
      </c>
      <c r="E118" s="57">
        <v>379000</v>
      </c>
      <c r="F118" s="57">
        <v>333000</v>
      </c>
      <c r="G118" s="57">
        <v>343000</v>
      </c>
    </row>
    <row r="119" spans="2:12" x14ac:dyDescent="0.2">
      <c r="B119" s="40" t="s">
        <v>305</v>
      </c>
      <c r="C119" s="40" t="s">
        <v>318</v>
      </c>
      <c r="D119" s="57">
        <v>3303000</v>
      </c>
      <c r="E119" s="57">
        <v>6088000</v>
      </c>
      <c r="F119" s="57">
        <v>7603000</v>
      </c>
      <c r="G119" s="57">
        <v>3714000</v>
      </c>
      <c r="H119" s="57">
        <v>3856000</v>
      </c>
      <c r="I119" s="57">
        <v>3776000</v>
      </c>
    </row>
    <row r="120" spans="2:12" x14ac:dyDescent="0.2">
      <c r="B120" s="40" t="s">
        <v>305</v>
      </c>
      <c r="C120" s="40" t="s">
        <v>319</v>
      </c>
      <c r="D120" s="57">
        <v>0</v>
      </c>
      <c r="E120" s="57">
        <v>0</v>
      </c>
      <c r="F120" s="57">
        <v>30000</v>
      </c>
      <c r="G120" s="57">
        <v>98000</v>
      </c>
      <c r="H120" s="57">
        <v>42000</v>
      </c>
      <c r="I120" s="57">
        <v>31000</v>
      </c>
    </row>
    <row r="121" spans="2:12" x14ac:dyDescent="0.2">
      <c r="B121" s="40" t="s">
        <v>305</v>
      </c>
      <c r="C121" s="40" t="s">
        <v>320</v>
      </c>
      <c r="D121" s="57">
        <v>0</v>
      </c>
      <c r="E121" s="57">
        <v>0</v>
      </c>
      <c r="F121" s="57">
        <v>17</v>
      </c>
      <c r="G121" s="57" t="s">
        <v>504</v>
      </c>
      <c r="H121" s="57" t="s">
        <v>504</v>
      </c>
      <c r="I121" s="57">
        <v>2500</v>
      </c>
    </row>
    <row r="122" spans="2:12" x14ac:dyDescent="0.2">
      <c r="B122" s="40" t="s">
        <v>305</v>
      </c>
      <c r="C122" s="40" t="s">
        <v>321</v>
      </c>
      <c r="D122" s="102"/>
      <c r="E122" s="102">
        <v>26000</v>
      </c>
      <c r="F122" s="102">
        <v>142000</v>
      </c>
      <c r="G122" s="102">
        <v>4890000</v>
      </c>
      <c r="H122" s="102">
        <v>9178000</v>
      </c>
      <c r="I122" s="102">
        <v>11060000</v>
      </c>
      <c r="J122" s="102">
        <v>13324778</v>
      </c>
      <c r="K122" s="102">
        <v>1004632</v>
      </c>
    </row>
    <row r="123" spans="2:12" x14ac:dyDescent="0.2">
      <c r="B123" s="40" t="s">
        <v>305</v>
      </c>
      <c r="C123" s="40" t="s">
        <v>322</v>
      </c>
      <c r="D123" s="57">
        <v>0</v>
      </c>
      <c r="E123" s="57">
        <v>3000</v>
      </c>
      <c r="F123" s="57">
        <v>0</v>
      </c>
      <c r="G123" s="57">
        <v>0</v>
      </c>
      <c r="H123" s="57">
        <v>0</v>
      </c>
      <c r="I123" s="57">
        <v>150</v>
      </c>
      <c r="J123" s="57">
        <v>0</v>
      </c>
      <c r="K123" s="57">
        <v>0</v>
      </c>
    </row>
    <row r="124" spans="2:12" x14ac:dyDescent="0.2">
      <c r="B124" s="40" t="s">
        <v>305</v>
      </c>
      <c r="C124" s="40" t="s">
        <v>323</v>
      </c>
      <c r="D124" s="57">
        <v>4000</v>
      </c>
      <c r="E124" s="57">
        <v>10000</v>
      </c>
      <c r="F124" s="57">
        <v>28000</v>
      </c>
      <c r="G124" s="57">
        <v>79000</v>
      </c>
      <c r="H124" s="57">
        <v>93000</v>
      </c>
      <c r="I124" s="57">
        <v>173000</v>
      </c>
      <c r="J124" s="57">
        <v>208596</v>
      </c>
      <c r="K124" s="57">
        <v>33473</v>
      </c>
    </row>
    <row r="125" spans="2:12" x14ac:dyDescent="0.2">
      <c r="B125" s="40" t="s">
        <v>305</v>
      </c>
      <c r="C125" s="40" t="s">
        <v>324</v>
      </c>
      <c r="D125" s="57"/>
      <c r="E125" s="57" t="s">
        <v>503</v>
      </c>
      <c r="F125" s="57">
        <v>2000</v>
      </c>
      <c r="G125" s="57">
        <v>6000</v>
      </c>
      <c r="H125" s="57">
        <v>11000</v>
      </c>
      <c r="I125" s="57">
        <v>34000</v>
      </c>
      <c r="J125" s="57">
        <v>40947</v>
      </c>
    </row>
    <row r="126" spans="2:12" x14ac:dyDescent="0.2">
      <c r="B126" s="40" t="s">
        <v>305</v>
      </c>
      <c r="C126" s="40" t="s">
        <v>325</v>
      </c>
      <c r="D126" s="57">
        <v>543000</v>
      </c>
      <c r="E126" s="57">
        <v>1528000</v>
      </c>
      <c r="F126" s="57">
        <v>545000</v>
      </c>
      <c r="G126" s="57">
        <v>352000</v>
      </c>
      <c r="H126" s="57">
        <v>2621000</v>
      </c>
      <c r="I126" s="57">
        <v>1130000</v>
      </c>
    </row>
    <row r="127" spans="2:12" x14ac:dyDescent="0.2">
      <c r="B127" s="40" t="s">
        <v>305</v>
      </c>
      <c r="C127" s="40" t="s">
        <v>326</v>
      </c>
      <c r="D127" s="57">
        <v>0</v>
      </c>
      <c r="E127" s="57">
        <v>0</v>
      </c>
      <c r="F127" s="57">
        <v>9000</v>
      </c>
      <c r="G127" s="57">
        <v>10000</v>
      </c>
      <c r="H127" s="57">
        <v>13000</v>
      </c>
      <c r="I127" s="57">
        <v>129000</v>
      </c>
      <c r="J127" s="57">
        <v>155927</v>
      </c>
    </row>
    <row r="128" spans="2:12" x14ac:dyDescent="0.2">
      <c r="B128" s="40" t="s">
        <v>305</v>
      </c>
      <c r="C128" s="40" t="s">
        <v>327</v>
      </c>
      <c r="D128" s="57">
        <v>4327000</v>
      </c>
      <c r="E128" s="57">
        <v>3307000</v>
      </c>
      <c r="F128" s="57">
        <v>672000</v>
      </c>
    </row>
    <row r="129" spans="2:12" x14ac:dyDescent="0.2">
      <c r="B129" s="40" t="s">
        <v>305</v>
      </c>
      <c r="C129" s="40" t="s">
        <v>328</v>
      </c>
      <c r="D129" s="57">
        <v>4673000</v>
      </c>
      <c r="E129" s="57">
        <v>1791000</v>
      </c>
      <c r="F129" s="57">
        <v>1989000</v>
      </c>
      <c r="G129" s="57">
        <v>677000</v>
      </c>
      <c r="H129" s="57">
        <v>30000</v>
      </c>
    </row>
    <row r="130" spans="2:12" x14ac:dyDescent="0.2">
      <c r="B130" s="40" t="s">
        <v>305</v>
      </c>
      <c r="C130" s="40" t="s">
        <v>329</v>
      </c>
      <c r="D130" s="57">
        <v>7968000</v>
      </c>
      <c r="E130" s="57">
        <v>7164000</v>
      </c>
      <c r="F130" s="57">
        <v>5079000</v>
      </c>
      <c r="G130" s="57">
        <v>2497000</v>
      </c>
      <c r="H130" s="57">
        <v>950000</v>
      </c>
    </row>
    <row r="131" spans="2:12" x14ac:dyDescent="0.2">
      <c r="B131" s="40" t="s">
        <v>305</v>
      </c>
      <c r="C131" s="40" t="s">
        <v>330</v>
      </c>
      <c r="D131" s="57">
        <v>43000</v>
      </c>
      <c r="E131" s="57">
        <v>695000</v>
      </c>
      <c r="F131" s="57">
        <v>615000</v>
      </c>
      <c r="G131" s="57">
        <v>410000</v>
      </c>
      <c r="H131" s="57">
        <v>354000</v>
      </c>
    </row>
    <row r="132" spans="2:12" x14ac:dyDescent="0.2">
      <c r="B132" s="40" t="s">
        <v>305</v>
      </c>
      <c r="C132" s="40" t="s">
        <v>331</v>
      </c>
      <c r="D132" s="57">
        <v>507000</v>
      </c>
      <c r="E132" s="57">
        <v>3000</v>
      </c>
      <c r="F132" s="57"/>
    </row>
    <row r="133" spans="2:12" x14ac:dyDescent="0.2">
      <c r="B133" s="40" t="s">
        <v>305</v>
      </c>
      <c r="C133" s="40" t="s">
        <v>332</v>
      </c>
      <c r="D133" s="57">
        <v>28009000</v>
      </c>
      <c r="E133" s="57">
        <v>10100000</v>
      </c>
      <c r="F133" s="57">
        <v>12705000</v>
      </c>
      <c r="G133" s="57">
        <v>20265000</v>
      </c>
      <c r="H133" s="57">
        <v>16844000</v>
      </c>
      <c r="I133" s="57">
        <v>15479000</v>
      </c>
      <c r="J133" s="57">
        <v>19876000</v>
      </c>
      <c r="K133" s="57" t="s">
        <v>302</v>
      </c>
    </row>
    <row r="134" spans="2:12" x14ac:dyDescent="0.2">
      <c r="B134" s="40" t="s">
        <v>305</v>
      </c>
      <c r="C134" s="40" t="s">
        <v>333</v>
      </c>
      <c r="D134" s="57">
        <v>701000</v>
      </c>
      <c r="E134" s="57">
        <v>654000</v>
      </c>
      <c r="F134" s="57">
        <v>723000</v>
      </c>
      <c r="G134" s="57">
        <v>680000</v>
      </c>
      <c r="H134" s="57">
        <v>592000</v>
      </c>
      <c r="I134" s="57">
        <v>418000</v>
      </c>
      <c r="J134" s="57">
        <v>504450</v>
      </c>
      <c r="K134" s="57">
        <v>279986</v>
      </c>
    </row>
    <row r="135" spans="2:12" x14ac:dyDescent="0.2">
      <c r="B135" s="40" t="s">
        <v>305</v>
      </c>
      <c r="C135" s="40" t="s">
        <v>334</v>
      </c>
      <c r="D135" s="57">
        <v>122000</v>
      </c>
      <c r="E135" s="57">
        <v>144000</v>
      </c>
      <c r="F135" s="57">
        <v>143000</v>
      </c>
      <c r="G135" s="57">
        <v>157000</v>
      </c>
      <c r="H135" s="57">
        <v>197000</v>
      </c>
      <c r="I135" s="57">
        <v>226000</v>
      </c>
      <c r="J135" s="57">
        <v>75000</v>
      </c>
      <c r="K135" s="57">
        <v>69453</v>
      </c>
    </row>
    <row r="136" spans="2:12" x14ac:dyDescent="0.2">
      <c r="B136" s="40" t="s">
        <v>305</v>
      </c>
      <c r="C136" s="40" t="s">
        <v>335</v>
      </c>
      <c r="D136" s="57">
        <v>31207000</v>
      </c>
      <c r="E136" s="57">
        <v>36886000</v>
      </c>
      <c r="F136" s="57">
        <v>40074000</v>
      </c>
      <c r="G136" s="57">
        <v>39328000</v>
      </c>
      <c r="H136" s="57">
        <v>42696000</v>
      </c>
      <c r="I136" s="57">
        <v>43212000</v>
      </c>
      <c r="J136" s="57">
        <v>37813000</v>
      </c>
      <c r="K136" s="57">
        <v>37813000</v>
      </c>
      <c r="L136" s="57" t="s">
        <v>69</v>
      </c>
    </row>
    <row r="137" spans="2:12" x14ac:dyDescent="0.2">
      <c r="B137" s="40" t="s">
        <v>305</v>
      </c>
      <c r="C137" s="40" t="s">
        <v>336</v>
      </c>
      <c r="D137" s="57">
        <v>7000</v>
      </c>
      <c r="E137" s="57">
        <v>6000</v>
      </c>
      <c r="F137" s="57">
        <v>11000</v>
      </c>
      <c r="G137" s="57">
        <v>8000</v>
      </c>
      <c r="H137" s="57">
        <v>6500</v>
      </c>
      <c r="I137" s="57">
        <v>14000</v>
      </c>
    </row>
    <row r="138" spans="2:12" x14ac:dyDescent="0.2">
      <c r="B138" s="40" t="s">
        <v>337</v>
      </c>
      <c r="C138" s="40" t="s">
        <v>338</v>
      </c>
      <c r="D138" s="57">
        <v>236662000</v>
      </c>
      <c r="E138" s="57">
        <v>379198000</v>
      </c>
      <c r="F138" s="57">
        <v>513100000</v>
      </c>
      <c r="G138" s="57">
        <v>518400000</v>
      </c>
      <c r="H138" s="57">
        <v>493953000</v>
      </c>
      <c r="L138" s="57" t="s">
        <v>69</v>
      </c>
    </row>
    <row r="139" spans="2:12" x14ac:dyDescent="0.2">
      <c r="B139" s="40" t="s">
        <v>337</v>
      </c>
      <c r="C139" s="40" t="s">
        <v>339</v>
      </c>
      <c r="D139" s="57">
        <v>486054000</v>
      </c>
      <c r="E139" s="57">
        <v>372577000</v>
      </c>
      <c r="F139" s="57">
        <v>404552000</v>
      </c>
      <c r="G139" s="57">
        <v>370397000</v>
      </c>
      <c r="H139" s="57">
        <v>352328000</v>
      </c>
      <c r="I139" s="57">
        <v>733098000</v>
      </c>
      <c r="J139" s="57">
        <v>685506000</v>
      </c>
      <c r="K139" s="57">
        <v>562862000</v>
      </c>
      <c r="L139" s="57" t="s">
        <v>69</v>
      </c>
    </row>
    <row r="140" spans="2:12" x14ac:dyDescent="0.2">
      <c r="B140" s="40" t="s">
        <v>337</v>
      </c>
      <c r="C140" s="40" t="s">
        <v>340</v>
      </c>
      <c r="D140" s="57">
        <v>12435000</v>
      </c>
      <c r="E140" s="57">
        <v>8247000</v>
      </c>
      <c r="F140" s="57">
        <v>19141000</v>
      </c>
      <c r="G140" s="57">
        <v>12569000</v>
      </c>
      <c r="H140" s="57">
        <v>13718000</v>
      </c>
      <c r="I140" s="57">
        <v>15651000</v>
      </c>
      <c r="J140" s="57">
        <v>11637000</v>
      </c>
      <c r="K140" s="57" t="s">
        <v>505</v>
      </c>
    </row>
    <row r="141" spans="2:12" x14ac:dyDescent="0.2">
      <c r="B141" s="40" t="s">
        <v>337</v>
      </c>
      <c r="C141" s="40" t="s">
        <v>341</v>
      </c>
      <c r="D141" s="57">
        <v>127493000</v>
      </c>
      <c r="E141" s="57">
        <v>115020000</v>
      </c>
      <c r="F141" s="57">
        <v>105325000</v>
      </c>
      <c r="G141" s="57">
        <v>157014000</v>
      </c>
      <c r="H141" s="57">
        <v>89240000</v>
      </c>
      <c r="I141" s="57">
        <v>76607000</v>
      </c>
    </row>
    <row r="142" spans="2:12" x14ac:dyDescent="0.2">
      <c r="B142" s="40" t="s">
        <v>337</v>
      </c>
      <c r="C142" s="40" t="s">
        <v>342</v>
      </c>
      <c r="D142" s="57">
        <v>237000</v>
      </c>
      <c r="E142" s="57">
        <v>192000</v>
      </c>
      <c r="F142" s="57">
        <v>215000</v>
      </c>
      <c r="G142" s="57">
        <v>228000</v>
      </c>
      <c r="H142" s="57">
        <v>278000</v>
      </c>
      <c r="I142" s="57">
        <v>651000</v>
      </c>
      <c r="J142" s="57">
        <v>856000</v>
      </c>
      <c r="K142" s="57">
        <v>1004000</v>
      </c>
    </row>
    <row r="143" spans="2:12" x14ac:dyDescent="0.2">
      <c r="B143" s="40" t="s">
        <v>337</v>
      </c>
      <c r="C143" s="40" t="s">
        <v>343</v>
      </c>
      <c r="D143" s="57">
        <v>109000</v>
      </c>
      <c r="E143" s="57">
        <v>100000</v>
      </c>
      <c r="F143" s="57">
        <v>107000</v>
      </c>
      <c r="G143" s="57">
        <v>111000</v>
      </c>
      <c r="H143" s="57">
        <v>119000</v>
      </c>
      <c r="I143" s="57">
        <v>143000</v>
      </c>
      <c r="J143" s="57">
        <v>150000</v>
      </c>
      <c r="K143" s="57">
        <v>127000</v>
      </c>
    </row>
    <row r="144" spans="2:12" x14ac:dyDescent="0.2">
      <c r="B144" s="40" t="s">
        <v>337</v>
      </c>
      <c r="C144" s="40" t="s">
        <v>344</v>
      </c>
      <c r="D144" s="57">
        <v>56000</v>
      </c>
      <c r="E144" s="57">
        <v>64000</v>
      </c>
      <c r="F144" s="57">
        <v>54000</v>
      </c>
      <c r="G144" s="57">
        <v>39000</v>
      </c>
      <c r="H144" s="57">
        <v>40000</v>
      </c>
      <c r="I144" s="57">
        <v>40000</v>
      </c>
      <c r="J144" s="57">
        <v>38000</v>
      </c>
      <c r="K144" s="57">
        <v>47740</v>
      </c>
    </row>
    <row r="145" spans="2:12" x14ac:dyDescent="0.2">
      <c r="B145" s="40" t="s">
        <v>337</v>
      </c>
      <c r="C145" s="40" t="s">
        <v>345</v>
      </c>
      <c r="D145" s="57">
        <v>0</v>
      </c>
      <c r="E145" s="57">
        <v>0</v>
      </c>
      <c r="F145" s="57">
        <v>0</v>
      </c>
      <c r="G145" s="57">
        <v>0</v>
      </c>
      <c r="H145" s="57">
        <v>0</v>
      </c>
      <c r="I145" s="57" t="s">
        <v>302</v>
      </c>
      <c r="J145" s="57">
        <v>0</v>
      </c>
      <c r="K145" s="57">
        <v>7075000</v>
      </c>
    </row>
    <row r="146" spans="2:12" x14ac:dyDescent="0.2">
      <c r="B146" s="40" t="s">
        <v>337</v>
      </c>
      <c r="C146" s="40" t="s">
        <v>346</v>
      </c>
      <c r="D146" s="57">
        <v>192000</v>
      </c>
      <c r="E146" s="57">
        <v>144000</v>
      </c>
      <c r="F146" s="57">
        <v>151000</v>
      </c>
      <c r="G146" s="57">
        <v>145000</v>
      </c>
      <c r="H146" s="57">
        <v>171000</v>
      </c>
      <c r="I146" s="57">
        <v>187000</v>
      </c>
      <c r="J146" s="57">
        <v>215000</v>
      </c>
      <c r="K146" s="57">
        <v>183975</v>
      </c>
    </row>
    <row r="147" spans="2:12" x14ac:dyDescent="0.2">
      <c r="B147" s="40" t="s">
        <v>337</v>
      </c>
      <c r="C147" s="40" t="s">
        <v>347</v>
      </c>
      <c r="D147" s="57">
        <v>3689000</v>
      </c>
      <c r="E147" s="57">
        <v>3210000</v>
      </c>
      <c r="F147" s="57">
        <v>3431000</v>
      </c>
      <c r="G147" s="57">
        <v>3044000</v>
      </c>
      <c r="H147" s="57">
        <v>2806000</v>
      </c>
      <c r="I147" s="57">
        <v>2826000</v>
      </c>
      <c r="J147" s="57">
        <v>1708000</v>
      </c>
      <c r="K147" s="57">
        <v>1057870</v>
      </c>
    </row>
    <row r="148" spans="2:12" x14ac:dyDescent="0.2">
      <c r="B148" s="40" t="s">
        <v>337</v>
      </c>
      <c r="C148" s="40" t="s">
        <v>348</v>
      </c>
      <c r="D148" s="57"/>
      <c r="E148" s="57"/>
      <c r="F148" s="57"/>
      <c r="G148" s="57">
        <v>133000</v>
      </c>
      <c r="H148" s="57">
        <v>150000</v>
      </c>
      <c r="I148" s="57">
        <v>188000</v>
      </c>
      <c r="J148" s="57">
        <v>236000</v>
      </c>
      <c r="K148" s="57">
        <v>275000</v>
      </c>
    </row>
    <row r="149" spans="2:12" x14ac:dyDescent="0.2">
      <c r="B149" s="40" t="s">
        <v>337</v>
      </c>
      <c r="C149" s="40" t="s">
        <v>349</v>
      </c>
      <c r="D149" s="57"/>
      <c r="E149" s="57">
        <v>237000</v>
      </c>
      <c r="F149" s="57">
        <v>223000</v>
      </c>
    </row>
    <row r="150" spans="2:12" x14ac:dyDescent="0.2">
      <c r="B150" s="40" t="s">
        <v>350</v>
      </c>
      <c r="C150" s="40" t="s">
        <v>351</v>
      </c>
      <c r="D150" s="57">
        <v>119725000</v>
      </c>
      <c r="E150" s="57">
        <v>116586000</v>
      </c>
      <c r="F150" s="57">
        <v>130137000</v>
      </c>
      <c r="G150" s="57">
        <v>126808000</v>
      </c>
      <c r="H150" s="57">
        <v>128328000</v>
      </c>
      <c r="I150" s="57">
        <v>137220000</v>
      </c>
      <c r="J150" s="57">
        <v>137911000</v>
      </c>
      <c r="K150" s="57">
        <v>150273000</v>
      </c>
      <c r="L150" s="57" t="s">
        <v>69</v>
      </c>
    </row>
    <row r="151" spans="2:12" x14ac:dyDescent="0.2">
      <c r="B151" s="40" t="s">
        <v>350</v>
      </c>
      <c r="C151" s="40" t="s">
        <v>352</v>
      </c>
      <c r="D151" s="57">
        <v>22210000</v>
      </c>
      <c r="E151" s="57">
        <v>19150000</v>
      </c>
      <c r="F151" s="57">
        <v>19312000</v>
      </c>
      <c r="G151" s="57">
        <v>16862000</v>
      </c>
      <c r="H151" s="57">
        <v>10501000</v>
      </c>
      <c r="I151" s="57">
        <v>1382000</v>
      </c>
      <c r="J151" s="57">
        <v>1511000</v>
      </c>
      <c r="K151" s="57">
        <v>2055000</v>
      </c>
    </row>
    <row r="152" spans="2:12" x14ac:dyDescent="0.2">
      <c r="B152" s="40" t="s">
        <v>350</v>
      </c>
      <c r="C152" s="40" t="s">
        <v>353</v>
      </c>
      <c r="D152" s="57">
        <v>153073000</v>
      </c>
      <c r="E152" s="57">
        <v>132375000</v>
      </c>
      <c r="F152" s="57">
        <v>130976000</v>
      </c>
      <c r="G152" s="57">
        <v>109923000</v>
      </c>
      <c r="H152" s="57">
        <v>99196000</v>
      </c>
      <c r="I152" s="57">
        <v>88897000</v>
      </c>
      <c r="J152" s="57">
        <v>77496000</v>
      </c>
      <c r="K152" s="57">
        <v>71904000</v>
      </c>
      <c r="L152" s="57" t="s">
        <v>69</v>
      </c>
    </row>
    <row r="153" spans="2:12" x14ac:dyDescent="0.2">
      <c r="B153" s="40" t="s">
        <v>350</v>
      </c>
      <c r="C153" s="40" t="s">
        <v>354</v>
      </c>
      <c r="D153" s="57">
        <v>32039000</v>
      </c>
      <c r="E153" s="57">
        <v>29074000</v>
      </c>
      <c r="F153" s="57">
        <v>31256000</v>
      </c>
      <c r="G153" s="57">
        <v>28678000</v>
      </c>
      <c r="H153" s="57">
        <v>20222000</v>
      </c>
      <c r="I153" s="57">
        <v>8477000</v>
      </c>
    </row>
    <row r="154" spans="2:12" x14ac:dyDescent="0.2">
      <c r="B154" s="40" t="s">
        <v>350</v>
      </c>
      <c r="C154" s="40" t="s">
        <v>355</v>
      </c>
      <c r="D154" s="57">
        <v>23881000</v>
      </c>
      <c r="E154" s="57">
        <v>21919000</v>
      </c>
      <c r="F154" s="57">
        <v>23175000</v>
      </c>
      <c r="G154" s="57">
        <v>22247000</v>
      </c>
      <c r="H154" s="57">
        <v>24839000</v>
      </c>
      <c r="I154" s="57">
        <v>35551000</v>
      </c>
      <c r="J154" s="57">
        <v>50215000</v>
      </c>
      <c r="K154" s="57">
        <v>43592000</v>
      </c>
    </row>
    <row r="155" spans="2:12" x14ac:dyDescent="0.2">
      <c r="B155" s="40" t="s">
        <v>350</v>
      </c>
      <c r="C155" s="40" t="s">
        <v>356</v>
      </c>
      <c r="D155" s="57">
        <v>23613000</v>
      </c>
      <c r="E155" s="57">
        <v>21346000</v>
      </c>
      <c r="F155" s="57">
        <v>21738000</v>
      </c>
      <c r="G155" s="57">
        <v>20440000</v>
      </c>
      <c r="H155" s="57">
        <v>20327000</v>
      </c>
      <c r="I155" s="57">
        <v>15122000</v>
      </c>
    </row>
    <row r="156" spans="2:12" x14ac:dyDescent="0.2">
      <c r="B156" s="40" t="s">
        <v>350</v>
      </c>
      <c r="C156" s="40" t="s">
        <v>357</v>
      </c>
      <c r="D156" s="57"/>
      <c r="E156" s="57"/>
      <c r="F156" s="57"/>
      <c r="G156" s="57">
        <v>1107000</v>
      </c>
      <c r="H156" s="57">
        <v>1507000</v>
      </c>
      <c r="I156" s="57">
        <v>2159000</v>
      </c>
      <c r="J156" s="57">
        <v>1943000</v>
      </c>
      <c r="K156" s="57">
        <v>3202000</v>
      </c>
    </row>
    <row r="157" spans="2:12" x14ac:dyDescent="0.2">
      <c r="B157" s="40" t="s">
        <v>350</v>
      </c>
      <c r="C157" s="40" t="s">
        <v>358</v>
      </c>
      <c r="D157" s="57">
        <v>79432000</v>
      </c>
      <c r="E157" s="57">
        <v>73068000</v>
      </c>
      <c r="F157" s="57">
        <v>72113000</v>
      </c>
      <c r="G157" s="57">
        <v>64778000</v>
      </c>
      <c r="H157" s="57">
        <v>60526000</v>
      </c>
      <c r="I157" s="57">
        <v>30402000</v>
      </c>
      <c r="J157" s="57">
        <v>17657000</v>
      </c>
      <c r="K157" s="57">
        <v>10558000</v>
      </c>
      <c r="L157" s="57" t="s">
        <v>69</v>
      </c>
    </row>
    <row r="158" spans="2:12" x14ac:dyDescent="0.2">
      <c r="B158" s="40" t="s">
        <v>350</v>
      </c>
      <c r="C158" s="40" t="s">
        <v>359</v>
      </c>
      <c r="D158" s="57"/>
      <c r="E158" s="57"/>
      <c r="F158" s="57"/>
      <c r="J158" s="57">
        <v>602000</v>
      </c>
      <c r="K158" s="57">
        <v>493570</v>
      </c>
    </row>
    <row r="159" spans="2:12" ht="14.25" x14ac:dyDescent="0.2">
      <c r="B159" s="40" t="s">
        <v>360</v>
      </c>
      <c r="C159" s="103" t="s">
        <v>361</v>
      </c>
      <c r="D159" s="57"/>
      <c r="E159" s="57"/>
      <c r="F159" s="57"/>
      <c r="G159" s="57">
        <v>30000</v>
      </c>
      <c r="H159" s="57">
        <v>19000</v>
      </c>
      <c r="I159" s="57">
        <v>79000</v>
      </c>
      <c r="J159" s="57">
        <v>44000</v>
      </c>
      <c r="K159" s="57">
        <v>583808</v>
      </c>
    </row>
    <row r="160" spans="2:12" x14ac:dyDescent="0.2">
      <c r="B160" s="40" t="s">
        <v>360</v>
      </c>
      <c r="C160" s="40" t="s">
        <v>362</v>
      </c>
      <c r="D160" s="57">
        <v>47024000</v>
      </c>
      <c r="E160" s="57">
        <v>25614000</v>
      </c>
      <c r="F160" s="57">
        <v>57588000</v>
      </c>
      <c r="G160" s="57">
        <v>94792000</v>
      </c>
      <c r="H160" s="57">
        <v>22679000</v>
      </c>
      <c r="I160" s="57">
        <v>28497000</v>
      </c>
      <c r="J160" s="57">
        <v>118738138</v>
      </c>
      <c r="K160" s="57">
        <v>40244733</v>
      </c>
    </row>
    <row r="161" spans="2:12" x14ac:dyDescent="0.2">
      <c r="B161" s="40" t="s">
        <v>360</v>
      </c>
      <c r="C161" s="40" t="s">
        <v>363</v>
      </c>
      <c r="D161" s="57">
        <v>3981000</v>
      </c>
      <c r="E161" s="57">
        <v>6376000</v>
      </c>
      <c r="F161" s="57">
        <v>0</v>
      </c>
      <c r="H161" s="57">
        <v>122000</v>
      </c>
      <c r="I161" s="57">
        <v>12294000</v>
      </c>
      <c r="J161" s="57">
        <v>26615717</v>
      </c>
      <c r="K161" s="57">
        <v>1664000</v>
      </c>
    </row>
    <row r="162" spans="2:12" x14ac:dyDescent="0.2">
      <c r="B162" s="40" t="s">
        <v>360</v>
      </c>
      <c r="C162" s="40" t="s">
        <v>364</v>
      </c>
      <c r="D162" s="57">
        <v>3202000</v>
      </c>
      <c r="E162" s="57">
        <v>3109000</v>
      </c>
      <c r="F162" s="57">
        <v>3998000</v>
      </c>
      <c r="G162" s="57">
        <v>79000</v>
      </c>
      <c r="H162" s="57">
        <v>293000</v>
      </c>
      <c r="I162" s="57">
        <v>4267000</v>
      </c>
      <c r="J162" s="57">
        <v>5151.9799999999996</v>
      </c>
      <c r="K162" s="57">
        <v>133757</v>
      </c>
    </row>
    <row r="163" spans="2:12" x14ac:dyDescent="0.2">
      <c r="B163" s="40" t="s">
        <v>360</v>
      </c>
      <c r="C163" s="40" t="s">
        <v>365</v>
      </c>
      <c r="D163" s="57"/>
      <c r="E163" s="57"/>
      <c r="F163" s="57">
        <v>65000</v>
      </c>
      <c r="G163" s="57">
        <v>532000</v>
      </c>
      <c r="H163" s="57">
        <v>1100000</v>
      </c>
      <c r="I163" s="57">
        <v>2517000</v>
      </c>
      <c r="J163" s="57">
        <v>3033058</v>
      </c>
      <c r="K163" s="57">
        <v>209920</v>
      </c>
    </row>
    <row r="164" spans="2:12" x14ac:dyDescent="0.2">
      <c r="B164" s="40" t="s">
        <v>360</v>
      </c>
      <c r="C164" s="40" t="s">
        <v>366</v>
      </c>
      <c r="D164" s="57"/>
      <c r="E164" s="57">
        <v>7000</v>
      </c>
      <c r="F164" s="57">
        <v>0</v>
      </c>
      <c r="G164" s="57">
        <v>5000</v>
      </c>
      <c r="I164" s="57">
        <v>33000</v>
      </c>
      <c r="K164" s="57">
        <v>1328000</v>
      </c>
    </row>
    <row r="165" spans="2:12" x14ac:dyDescent="0.2">
      <c r="B165" s="40" t="s">
        <v>360</v>
      </c>
      <c r="C165" s="40" t="s">
        <v>367</v>
      </c>
      <c r="D165" s="57">
        <v>5000</v>
      </c>
      <c r="E165" s="57">
        <v>51000</v>
      </c>
      <c r="F165" s="57">
        <v>129000</v>
      </c>
      <c r="G165" s="57">
        <v>61000</v>
      </c>
      <c r="H165" s="57">
        <v>69000</v>
      </c>
      <c r="I165" s="57">
        <v>198000</v>
      </c>
      <c r="J165" s="57">
        <v>239200</v>
      </c>
    </row>
    <row r="166" spans="2:12" x14ac:dyDescent="0.2">
      <c r="B166" s="40" t="s">
        <v>360</v>
      </c>
      <c r="C166" s="40" t="s">
        <v>368</v>
      </c>
      <c r="D166" s="57">
        <v>651000</v>
      </c>
      <c r="E166" s="57">
        <v>1240000</v>
      </c>
      <c r="F166" s="57">
        <v>1321000</v>
      </c>
      <c r="G166" s="57">
        <v>425000</v>
      </c>
      <c r="H166" s="57">
        <v>42000</v>
      </c>
      <c r="I166" s="57">
        <v>227000</v>
      </c>
      <c r="J166" s="57">
        <v>272863</v>
      </c>
      <c r="K166" s="57">
        <v>120069</v>
      </c>
    </row>
    <row r="167" spans="2:12" x14ac:dyDescent="0.2">
      <c r="B167" s="40" t="s">
        <v>282</v>
      </c>
      <c r="C167" s="40" t="s">
        <v>369</v>
      </c>
      <c r="D167" s="57"/>
      <c r="E167" s="57">
        <v>9000</v>
      </c>
      <c r="F167" s="57">
        <v>486000</v>
      </c>
      <c r="G167" s="57">
        <v>3939000</v>
      </c>
      <c r="H167" s="57">
        <v>23294000</v>
      </c>
      <c r="I167" s="57">
        <v>37406000</v>
      </c>
      <c r="J167" s="57">
        <v>45068020</v>
      </c>
      <c r="K167" s="57">
        <v>2794369</v>
      </c>
    </row>
    <row r="168" spans="2:12" x14ac:dyDescent="0.2">
      <c r="B168" s="40" t="s">
        <v>283</v>
      </c>
      <c r="C168" s="40" t="s">
        <v>370</v>
      </c>
      <c r="D168" s="57">
        <v>52000</v>
      </c>
      <c r="E168" s="57">
        <v>53000</v>
      </c>
      <c r="F168" s="57">
        <v>50000</v>
      </c>
      <c r="G168" s="57">
        <v>49000</v>
      </c>
      <c r="H168" s="57">
        <v>46000</v>
      </c>
      <c r="I168" s="57">
        <v>44000</v>
      </c>
      <c r="J168" s="57">
        <v>37000</v>
      </c>
      <c r="K168" s="57">
        <v>35000</v>
      </c>
    </row>
    <row r="169" spans="2:12" x14ac:dyDescent="0.2">
      <c r="B169" s="40" t="s">
        <v>283</v>
      </c>
      <c r="C169" s="40" t="s">
        <v>371</v>
      </c>
      <c r="D169" s="57">
        <v>7700000</v>
      </c>
      <c r="E169" s="57">
        <v>7819000</v>
      </c>
      <c r="F169" s="57">
        <v>7360000</v>
      </c>
      <c r="G169" s="57">
        <v>7177000</v>
      </c>
      <c r="H169" s="57" t="s">
        <v>503</v>
      </c>
      <c r="I169" s="57">
        <v>6363000</v>
      </c>
      <c r="J169" s="57">
        <v>5108000</v>
      </c>
      <c r="K169" s="57">
        <v>4824000</v>
      </c>
    </row>
    <row r="170" spans="2:12" x14ac:dyDescent="0.2">
      <c r="B170" s="40" t="s">
        <v>283</v>
      </c>
      <c r="C170" s="40" t="s">
        <v>372</v>
      </c>
      <c r="D170" s="57">
        <v>34000</v>
      </c>
      <c r="E170" s="57">
        <v>35000</v>
      </c>
      <c r="F170" s="57">
        <v>33000</v>
      </c>
      <c r="G170" s="57">
        <v>32000</v>
      </c>
      <c r="H170" s="57">
        <v>31000</v>
      </c>
      <c r="I170" s="57">
        <v>29000</v>
      </c>
      <c r="J170" s="57">
        <v>25000</v>
      </c>
    </row>
    <row r="171" spans="2:12" x14ac:dyDescent="0.2">
      <c r="B171" s="40" t="s">
        <v>283</v>
      </c>
      <c r="C171" s="40" t="s">
        <v>373</v>
      </c>
      <c r="D171" s="57">
        <v>11282000</v>
      </c>
      <c r="E171" s="57">
        <v>11456000</v>
      </c>
      <c r="F171" s="57">
        <v>10784000</v>
      </c>
      <c r="G171" s="57">
        <v>10516000</v>
      </c>
      <c r="H171" s="57">
        <v>10797000</v>
      </c>
      <c r="I171" s="57">
        <v>17000000</v>
      </c>
      <c r="J171" s="57">
        <v>13772000</v>
      </c>
      <c r="K171" s="57">
        <v>13007000</v>
      </c>
      <c r="L171" s="57" t="s">
        <v>69</v>
      </c>
    </row>
    <row r="172" spans="2:12" x14ac:dyDescent="0.2">
      <c r="B172" s="40" t="s">
        <v>283</v>
      </c>
      <c r="C172" s="40" t="s">
        <v>374</v>
      </c>
      <c r="D172" s="57">
        <v>15732000</v>
      </c>
      <c r="E172" s="57">
        <v>15975000</v>
      </c>
      <c r="F172" s="57">
        <v>15038000</v>
      </c>
      <c r="G172" s="57">
        <v>14664000</v>
      </c>
      <c r="H172" s="57">
        <v>13689000</v>
      </c>
      <c r="I172" s="57">
        <v>13000000</v>
      </c>
      <c r="J172" s="57">
        <v>12771000</v>
      </c>
      <c r="K172" s="57">
        <v>12061000</v>
      </c>
      <c r="L172" s="57" t="s">
        <v>69</v>
      </c>
    </row>
    <row r="173" spans="2:12" x14ac:dyDescent="0.2">
      <c r="B173" s="40" t="s">
        <v>283</v>
      </c>
      <c r="C173" s="40" t="s">
        <v>375</v>
      </c>
      <c r="D173" s="57">
        <v>352000</v>
      </c>
      <c r="E173" s="57">
        <v>357000</v>
      </c>
      <c r="F173" s="57">
        <v>336000</v>
      </c>
      <c r="G173" s="57">
        <v>328000</v>
      </c>
      <c r="H173" s="57">
        <v>306000</v>
      </c>
      <c r="I173" s="57">
        <v>291000</v>
      </c>
      <c r="J173" s="57">
        <v>535000</v>
      </c>
      <c r="K173" s="57">
        <v>505000</v>
      </c>
    </row>
    <row r="174" spans="2:12" x14ac:dyDescent="0.2">
      <c r="B174" s="40" t="s">
        <v>283</v>
      </c>
      <c r="C174" s="40" t="s">
        <v>376</v>
      </c>
      <c r="D174" s="57">
        <v>592000</v>
      </c>
      <c r="E174" s="57">
        <v>601000</v>
      </c>
      <c r="F174" s="57">
        <v>566000</v>
      </c>
      <c r="G174" s="57">
        <v>552000</v>
      </c>
      <c r="H174" s="57">
        <v>515000</v>
      </c>
      <c r="I174" s="57">
        <v>489000</v>
      </c>
      <c r="J174" s="57">
        <v>458000</v>
      </c>
      <c r="K174" s="57">
        <v>433000</v>
      </c>
    </row>
    <row r="175" spans="2:12" x14ac:dyDescent="0.2">
      <c r="B175" s="40" t="s">
        <v>283</v>
      </c>
      <c r="C175" s="40" t="s">
        <v>377</v>
      </c>
      <c r="D175" s="57">
        <v>111338000</v>
      </c>
      <c r="E175" s="57">
        <v>113055000</v>
      </c>
      <c r="F175" s="57">
        <v>106423000</v>
      </c>
      <c r="G175" s="57">
        <v>103774000</v>
      </c>
      <c r="H175" s="57">
        <v>96876000</v>
      </c>
      <c r="I175" s="57">
        <v>92000000</v>
      </c>
      <c r="J175" s="57">
        <v>85105000</v>
      </c>
      <c r="K175" s="57">
        <v>80376000</v>
      </c>
    </row>
    <row r="176" spans="2:12" x14ac:dyDescent="0.2">
      <c r="B176" s="40" t="s">
        <v>283</v>
      </c>
      <c r="C176" s="40" t="s">
        <v>378</v>
      </c>
      <c r="D176" s="57">
        <v>7282000</v>
      </c>
      <c r="E176" s="57">
        <v>7394000</v>
      </c>
      <c r="F176" s="57">
        <v>6960000</v>
      </c>
      <c r="G176" s="57">
        <v>6787000</v>
      </c>
      <c r="H176" s="57">
        <v>6336000</v>
      </c>
      <c r="I176" s="57">
        <v>6017000</v>
      </c>
      <c r="J176" s="57">
        <v>5565000</v>
      </c>
      <c r="K176" s="57">
        <v>5256000</v>
      </c>
    </row>
    <row r="177" spans="2:11" x14ac:dyDescent="0.2">
      <c r="B177" s="40" t="s">
        <v>283</v>
      </c>
      <c r="C177" s="40" t="s">
        <v>379</v>
      </c>
      <c r="D177" s="57">
        <v>138499000</v>
      </c>
      <c r="E177" s="57">
        <v>140634000</v>
      </c>
      <c r="F177" s="57">
        <v>132382000</v>
      </c>
      <c r="G177" s="57">
        <v>129086000</v>
      </c>
      <c r="H177" s="57">
        <v>120505000</v>
      </c>
      <c r="I177" s="57">
        <v>114440000</v>
      </c>
      <c r="J177" s="57">
        <v>104750000</v>
      </c>
      <c r="K177" s="57">
        <v>98929000</v>
      </c>
    </row>
    <row r="178" spans="2:11" x14ac:dyDescent="0.2">
      <c r="B178" s="40" t="s">
        <v>283</v>
      </c>
      <c r="C178" s="40" t="s">
        <v>380</v>
      </c>
      <c r="D178" s="57">
        <v>6583000</v>
      </c>
      <c r="E178" s="57">
        <v>6684000</v>
      </c>
      <c r="F178" s="57">
        <v>6292000</v>
      </c>
      <c r="G178" s="57">
        <v>6135000</v>
      </c>
      <c r="H178" s="57">
        <v>5727000</v>
      </c>
      <c r="I178" s="57">
        <v>5439000</v>
      </c>
      <c r="J178" s="57">
        <v>5686000</v>
      </c>
      <c r="K178" s="57">
        <v>5370000</v>
      </c>
    </row>
    <row r="179" spans="2:11" x14ac:dyDescent="0.2">
      <c r="B179" s="40" t="s">
        <v>283</v>
      </c>
      <c r="C179" s="40" t="s">
        <v>381</v>
      </c>
      <c r="D179" s="57">
        <v>4316000</v>
      </c>
      <c r="E179" s="57">
        <v>4383000</v>
      </c>
      <c r="F179" s="57">
        <v>4126000</v>
      </c>
      <c r="G179" s="57">
        <v>4023000</v>
      </c>
      <c r="H179" s="57">
        <v>3756000</v>
      </c>
      <c r="I179" s="57">
        <v>3567000</v>
      </c>
      <c r="J179" s="57">
        <v>3697000</v>
      </c>
      <c r="K179" s="57">
        <v>3492000</v>
      </c>
    </row>
    <row r="180" spans="2:11" x14ac:dyDescent="0.2">
      <c r="B180" s="40" t="s">
        <v>283</v>
      </c>
      <c r="C180" s="40" t="s">
        <v>511</v>
      </c>
      <c r="D180" s="102"/>
      <c r="E180" s="102"/>
      <c r="F180" s="102"/>
      <c r="G180" s="102"/>
      <c r="H180" s="102">
        <v>86000</v>
      </c>
      <c r="I180" s="102"/>
      <c r="J180" s="102">
        <v>74000</v>
      </c>
      <c r="K180" s="102">
        <v>70000</v>
      </c>
    </row>
    <row r="181" spans="2:11" x14ac:dyDescent="0.2">
      <c r="B181" s="40" t="s">
        <v>283</v>
      </c>
      <c r="C181" s="40" t="s">
        <v>382</v>
      </c>
      <c r="D181" s="57" t="s">
        <v>503</v>
      </c>
      <c r="E181" s="57" t="s">
        <v>503</v>
      </c>
      <c r="F181" s="57" t="s">
        <v>503</v>
      </c>
      <c r="G181" s="57">
        <v>21956000</v>
      </c>
      <c r="H181" s="57">
        <v>20496000</v>
      </c>
      <c r="I181" s="57">
        <v>19464000</v>
      </c>
      <c r="J181" s="57">
        <v>19600000</v>
      </c>
      <c r="K181" s="57">
        <v>18511000</v>
      </c>
    </row>
    <row r="182" spans="2:11" x14ac:dyDescent="0.2">
      <c r="B182" s="40" t="s">
        <v>283</v>
      </c>
      <c r="C182" s="40" t="s">
        <v>383</v>
      </c>
      <c r="D182" s="57">
        <v>7959000</v>
      </c>
      <c r="E182" s="57">
        <v>8082000</v>
      </c>
      <c r="F182" s="57">
        <v>7608000</v>
      </c>
      <c r="G182" s="57">
        <v>7419000</v>
      </c>
      <c r="H182" s="57">
        <v>6926000</v>
      </c>
      <c r="I182" s="57">
        <v>6577000</v>
      </c>
      <c r="J182" s="57">
        <v>6414000</v>
      </c>
      <c r="K182" s="57">
        <v>6058000</v>
      </c>
    </row>
    <row r="183" spans="2:11" x14ac:dyDescent="0.2">
      <c r="B183" s="40" t="s">
        <v>283</v>
      </c>
      <c r="C183" s="40" t="s">
        <v>384</v>
      </c>
      <c r="D183" s="57">
        <v>3655000</v>
      </c>
      <c r="E183" s="57">
        <v>3711000</v>
      </c>
      <c r="F183" s="57">
        <v>3493000</v>
      </c>
      <c r="G183" s="57">
        <v>3406000</v>
      </c>
      <c r="H183" s="57">
        <v>3180000</v>
      </c>
      <c r="I183" s="57">
        <v>3068000</v>
      </c>
      <c r="J183" s="57">
        <v>2839000</v>
      </c>
      <c r="K183" s="57">
        <v>2681000</v>
      </c>
    </row>
    <row r="184" spans="2:11" x14ac:dyDescent="0.2">
      <c r="B184" s="40" t="s">
        <v>283</v>
      </c>
      <c r="C184" s="40" t="s">
        <v>385</v>
      </c>
      <c r="D184" s="57">
        <v>570000</v>
      </c>
      <c r="E184" s="57">
        <v>579000</v>
      </c>
      <c r="F184" s="57">
        <v>545000</v>
      </c>
      <c r="G184" s="57">
        <v>531000</v>
      </c>
      <c r="H184" s="57">
        <v>496000</v>
      </c>
      <c r="I184" s="57">
        <v>471000</v>
      </c>
      <c r="J184" s="57">
        <v>451000</v>
      </c>
      <c r="K184" s="57">
        <v>426000</v>
      </c>
    </row>
    <row r="185" spans="2:11" x14ac:dyDescent="0.2">
      <c r="B185" s="40" t="s">
        <v>283</v>
      </c>
      <c r="C185" s="40" t="s">
        <v>386</v>
      </c>
      <c r="D185" s="57"/>
      <c r="E185" s="57" t="s">
        <v>503</v>
      </c>
      <c r="F185" s="57">
        <v>184000</v>
      </c>
      <c r="G185" s="57">
        <v>179000</v>
      </c>
      <c r="H185" s="57">
        <v>166700</v>
      </c>
      <c r="I185" s="57">
        <v>97000</v>
      </c>
      <c r="J185" s="57">
        <v>96000</v>
      </c>
      <c r="K185" s="57">
        <v>91000</v>
      </c>
    </row>
    <row r="186" spans="2:11" x14ac:dyDescent="0.2">
      <c r="B186" s="40" t="s">
        <v>283</v>
      </c>
      <c r="C186" s="40" t="s">
        <v>387</v>
      </c>
      <c r="D186" s="57">
        <v>136000</v>
      </c>
      <c r="E186" s="57">
        <v>123000</v>
      </c>
      <c r="F186" s="57">
        <v>213000</v>
      </c>
      <c r="G186" s="57">
        <v>94000</v>
      </c>
      <c r="H186" s="57">
        <v>173000</v>
      </c>
      <c r="I186" s="57">
        <v>1680000</v>
      </c>
      <c r="J186" s="57">
        <v>96000</v>
      </c>
    </row>
    <row r="187" spans="2:11" x14ac:dyDescent="0.2">
      <c r="B187" s="40" t="s">
        <v>283</v>
      </c>
      <c r="C187" s="40" t="s">
        <v>388</v>
      </c>
      <c r="D187" s="102"/>
      <c r="E187" s="102"/>
      <c r="F187" s="102"/>
      <c r="G187" s="102">
        <v>50000</v>
      </c>
      <c r="H187" s="102">
        <v>47000</v>
      </c>
      <c r="I187" s="102">
        <v>45000</v>
      </c>
      <c r="J187" s="102">
        <v>46000</v>
      </c>
      <c r="K187" s="102">
        <v>43000</v>
      </c>
    </row>
    <row r="188" spans="2:11" x14ac:dyDescent="0.2">
      <c r="B188" s="40" t="s">
        <v>283</v>
      </c>
      <c r="C188" s="40" t="s">
        <v>389</v>
      </c>
      <c r="D188" s="57"/>
      <c r="E188" s="57"/>
      <c r="F188" s="57"/>
      <c r="H188" s="57">
        <v>160000</v>
      </c>
      <c r="I188" s="57">
        <v>280000</v>
      </c>
      <c r="J188" s="57">
        <v>277000</v>
      </c>
      <c r="K188" s="57">
        <v>262000</v>
      </c>
    </row>
    <row r="189" spans="2:11" x14ac:dyDescent="0.2">
      <c r="B189" s="40" t="s">
        <v>283</v>
      </c>
      <c r="C189" s="40" t="s">
        <v>390</v>
      </c>
      <c r="D189" s="57"/>
      <c r="E189" s="57"/>
      <c r="F189" s="57"/>
      <c r="K189" s="57">
        <v>652000</v>
      </c>
    </row>
    <row r="190" spans="2:11" x14ac:dyDescent="0.2">
      <c r="B190" s="40" t="s">
        <v>283</v>
      </c>
      <c r="C190" s="40" t="s">
        <v>391</v>
      </c>
      <c r="D190" s="57"/>
      <c r="E190" s="57"/>
      <c r="F190" s="57"/>
      <c r="G190" s="57">
        <v>0</v>
      </c>
      <c r="H190" s="57">
        <v>0</v>
      </c>
      <c r="I190" s="57">
        <v>0</v>
      </c>
      <c r="J190" s="57" t="s">
        <v>507</v>
      </c>
      <c r="K190" s="57">
        <v>3000000</v>
      </c>
    </row>
    <row r="191" spans="2:11" x14ac:dyDescent="0.2">
      <c r="B191" s="40" t="s">
        <v>283</v>
      </c>
      <c r="C191" s="40" t="s">
        <v>392</v>
      </c>
      <c r="D191" s="57"/>
      <c r="E191" s="57"/>
      <c r="F191" s="57"/>
      <c r="G191" s="57">
        <v>0</v>
      </c>
      <c r="H191" s="57">
        <v>0</v>
      </c>
      <c r="I191" s="57">
        <v>0</v>
      </c>
      <c r="J191" s="57" t="s">
        <v>507</v>
      </c>
      <c r="K191" s="57">
        <v>135000</v>
      </c>
    </row>
    <row r="192" spans="2:11" x14ac:dyDescent="0.2">
      <c r="B192" s="40" t="s">
        <v>283</v>
      </c>
      <c r="C192" s="40" t="s">
        <v>393</v>
      </c>
      <c r="D192" s="57"/>
      <c r="E192" s="57"/>
      <c r="F192" s="57">
        <v>0</v>
      </c>
      <c r="G192" s="57">
        <v>0</v>
      </c>
      <c r="H192" s="57">
        <v>0</v>
      </c>
      <c r="I192" s="57">
        <v>100000</v>
      </c>
      <c r="J192" s="57">
        <v>27000</v>
      </c>
    </row>
    <row r="193" spans="2:12" x14ac:dyDescent="0.2">
      <c r="B193" s="40" t="s">
        <v>283</v>
      </c>
      <c r="C193" s="40" t="s">
        <v>394</v>
      </c>
      <c r="D193" s="57">
        <v>773000</v>
      </c>
      <c r="E193" s="57">
        <v>765000</v>
      </c>
      <c r="F193" s="57">
        <v>492000</v>
      </c>
      <c r="G193" s="57">
        <v>721000</v>
      </c>
      <c r="H193" s="57">
        <v>756000</v>
      </c>
      <c r="I193" s="57">
        <v>563000</v>
      </c>
      <c r="J193" s="57">
        <v>691000</v>
      </c>
    </row>
    <row r="194" spans="2:12" x14ac:dyDescent="0.2">
      <c r="B194" s="40" t="s">
        <v>283</v>
      </c>
      <c r="C194" s="40" t="s">
        <v>395</v>
      </c>
      <c r="D194" s="57"/>
      <c r="E194" s="57"/>
      <c r="F194" s="57"/>
      <c r="G194" s="57">
        <v>117000</v>
      </c>
      <c r="H194" s="57">
        <v>109000</v>
      </c>
      <c r="I194" s="57">
        <v>104000</v>
      </c>
      <c r="J194" s="57">
        <v>68000</v>
      </c>
    </row>
    <row r="195" spans="2:12" x14ac:dyDescent="0.2">
      <c r="B195" s="40" t="s">
        <v>283</v>
      </c>
      <c r="C195" s="40" t="s">
        <v>396</v>
      </c>
      <c r="D195" s="57"/>
      <c r="E195" s="57"/>
      <c r="F195" s="57"/>
      <c r="H195" s="57">
        <v>445000</v>
      </c>
      <c r="I195" s="57">
        <v>423000</v>
      </c>
      <c r="J195" s="57">
        <v>418000</v>
      </c>
    </row>
    <row r="196" spans="2:12" x14ac:dyDescent="0.2">
      <c r="B196" s="40" t="s">
        <v>283</v>
      </c>
      <c r="C196" s="40" t="s">
        <v>512</v>
      </c>
      <c r="D196" s="57"/>
      <c r="E196" s="57"/>
      <c r="F196" s="57"/>
      <c r="H196" s="57">
        <v>101000</v>
      </c>
      <c r="I196" s="57">
        <v>83000</v>
      </c>
      <c r="J196" s="57">
        <v>82000</v>
      </c>
    </row>
    <row r="197" spans="2:12" x14ac:dyDescent="0.2">
      <c r="B197" s="40" t="s">
        <v>283</v>
      </c>
      <c r="C197" s="40" t="s">
        <v>397</v>
      </c>
      <c r="D197" s="57"/>
      <c r="E197" s="57"/>
      <c r="F197" s="57"/>
      <c r="G197" s="57">
        <v>322000</v>
      </c>
      <c r="H197" s="57">
        <v>301000</v>
      </c>
      <c r="I197" s="57">
        <v>286000</v>
      </c>
      <c r="J197" s="57">
        <v>282000</v>
      </c>
    </row>
    <row r="198" spans="2:12" x14ac:dyDescent="0.2">
      <c r="B198" s="40" t="s">
        <v>283</v>
      </c>
      <c r="C198" s="40" t="s">
        <v>398</v>
      </c>
      <c r="D198" s="57"/>
      <c r="E198" s="57"/>
      <c r="F198" s="57"/>
      <c r="G198" s="57">
        <v>36000</v>
      </c>
      <c r="H198" s="57">
        <v>34000</v>
      </c>
      <c r="I198" s="57">
        <v>29000</v>
      </c>
      <c r="J198" s="57">
        <v>29000</v>
      </c>
    </row>
    <row r="199" spans="2:12" x14ac:dyDescent="0.2">
      <c r="B199" s="40" t="s">
        <v>283</v>
      </c>
      <c r="C199" s="40" t="s">
        <v>399</v>
      </c>
      <c r="D199" s="57">
        <v>763000</v>
      </c>
      <c r="E199" s="57">
        <v>68000</v>
      </c>
      <c r="F199" s="57">
        <v>145200</v>
      </c>
      <c r="G199" s="57">
        <v>142000</v>
      </c>
      <c r="H199" s="57">
        <v>10800</v>
      </c>
      <c r="I199" s="57">
        <v>3000</v>
      </c>
      <c r="J199" s="57">
        <v>57000</v>
      </c>
    </row>
    <row r="200" spans="2:12" x14ac:dyDescent="0.2">
      <c r="B200" s="40" t="s">
        <v>283</v>
      </c>
      <c r="C200" s="40" t="s">
        <v>400</v>
      </c>
      <c r="D200" s="57">
        <v>6059057000</v>
      </c>
      <c r="E200" s="57">
        <v>6714213000</v>
      </c>
      <c r="F200" s="57">
        <v>4637559000</v>
      </c>
      <c r="G200" s="57">
        <v>5210700000</v>
      </c>
      <c r="H200" s="57">
        <v>3957482000</v>
      </c>
      <c r="I200" s="57">
        <v>1512000000</v>
      </c>
      <c r="J200" s="57">
        <v>1493000000</v>
      </c>
      <c r="K200" s="57">
        <v>773781000</v>
      </c>
      <c r="L200" s="57" t="s">
        <v>69</v>
      </c>
    </row>
    <row r="201" spans="2:12" x14ac:dyDescent="0.2">
      <c r="B201" s="40" t="s">
        <v>283</v>
      </c>
      <c r="C201" s="40" t="s">
        <v>401</v>
      </c>
      <c r="D201" s="57">
        <v>50287000</v>
      </c>
      <c r="E201" s="57">
        <v>51062000</v>
      </c>
      <c r="F201" s="57">
        <v>48066000</v>
      </c>
      <c r="G201" s="57">
        <v>46869000</v>
      </c>
      <c r="H201" s="57">
        <v>43753000</v>
      </c>
      <c r="I201" s="57">
        <v>41550000</v>
      </c>
      <c r="J201" s="57">
        <v>46794000</v>
      </c>
      <c r="K201" s="57">
        <v>44194000</v>
      </c>
    </row>
    <row r="202" spans="2:12" x14ac:dyDescent="0.2">
      <c r="B202" s="40" t="s">
        <v>283</v>
      </c>
      <c r="C202" s="40" t="s">
        <v>402</v>
      </c>
      <c r="D202" s="57">
        <v>275000</v>
      </c>
      <c r="E202" s="57">
        <v>297000</v>
      </c>
      <c r="F202" s="57">
        <v>280000</v>
      </c>
      <c r="G202" s="57">
        <v>273000</v>
      </c>
      <c r="H202" s="57">
        <v>255000</v>
      </c>
      <c r="I202" s="57">
        <v>242000</v>
      </c>
      <c r="J202" s="57">
        <v>237000</v>
      </c>
      <c r="K202" s="57">
        <v>223000</v>
      </c>
    </row>
    <row r="203" spans="2:12" x14ac:dyDescent="0.2">
      <c r="B203" s="40" t="s">
        <v>283</v>
      </c>
      <c r="C203" s="40" t="s">
        <v>403</v>
      </c>
      <c r="D203" s="57">
        <v>142287000</v>
      </c>
      <c r="E203" s="57">
        <v>144481000</v>
      </c>
      <c r="F203" s="57">
        <v>136003000</v>
      </c>
      <c r="G203" s="57">
        <v>132617000</v>
      </c>
      <c r="H203" s="57">
        <v>123801000</v>
      </c>
      <c r="I203" s="57">
        <v>117570000</v>
      </c>
      <c r="J203" s="57">
        <v>99592000</v>
      </c>
      <c r="K203" s="57">
        <v>94058000</v>
      </c>
      <c r="L203" s="57" t="s">
        <v>69</v>
      </c>
    </row>
    <row r="204" spans="2:12" x14ac:dyDescent="0.2">
      <c r="B204" s="40" t="s">
        <v>283</v>
      </c>
      <c r="C204" s="40" t="s">
        <v>404</v>
      </c>
      <c r="D204" s="57">
        <v>242300000</v>
      </c>
      <c r="E204" s="57">
        <v>239790000</v>
      </c>
      <c r="F204" s="57">
        <v>153579000</v>
      </c>
      <c r="G204" s="57" t="s">
        <v>508</v>
      </c>
      <c r="H204" s="57">
        <v>126035000</v>
      </c>
      <c r="I204" s="57">
        <v>132227000</v>
      </c>
      <c r="J204" s="57">
        <v>60967000</v>
      </c>
      <c r="K204" s="57">
        <v>57579000</v>
      </c>
      <c r="L204" s="57" t="s">
        <v>69</v>
      </c>
    </row>
    <row r="205" spans="2:12" x14ac:dyDescent="0.2">
      <c r="B205" s="40" t="s">
        <v>283</v>
      </c>
      <c r="C205" s="40" t="s">
        <v>405</v>
      </c>
      <c r="D205" s="57">
        <v>0</v>
      </c>
      <c r="E205" s="57">
        <v>0</v>
      </c>
      <c r="F205" s="57">
        <v>0</v>
      </c>
      <c r="G205" s="57">
        <v>38618000</v>
      </c>
      <c r="H205" s="57">
        <v>42888000</v>
      </c>
      <c r="I205" s="57">
        <v>39020000</v>
      </c>
      <c r="J205" s="57">
        <v>20731000</v>
      </c>
      <c r="K205" s="57">
        <v>11775000</v>
      </c>
    </row>
    <row r="206" spans="2:12" x14ac:dyDescent="0.2">
      <c r="B206" s="40" t="s">
        <v>283</v>
      </c>
      <c r="C206" s="40" t="s">
        <v>406</v>
      </c>
      <c r="D206" s="57"/>
      <c r="E206" s="57"/>
      <c r="F206" s="57"/>
      <c r="G206" s="57" t="s">
        <v>302</v>
      </c>
      <c r="H206" s="57" t="s">
        <v>302</v>
      </c>
      <c r="I206" s="57">
        <v>117570000</v>
      </c>
      <c r="K206" s="57">
        <v>16061000</v>
      </c>
    </row>
    <row r="207" spans="2:12" x14ac:dyDescent="0.2">
      <c r="B207" s="40" t="s">
        <v>283</v>
      </c>
      <c r="C207" s="40" t="s">
        <v>407</v>
      </c>
      <c r="D207" s="57"/>
      <c r="E207" s="57"/>
      <c r="F207" s="57"/>
      <c r="I207" s="57">
        <v>0</v>
      </c>
      <c r="J207" s="57">
        <v>0</v>
      </c>
      <c r="K207" s="57">
        <v>2078000</v>
      </c>
    </row>
    <row r="208" spans="2:12" x14ac:dyDescent="0.2">
      <c r="B208" s="40" t="s">
        <v>283</v>
      </c>
      <c r="C208" s="40" t="s">
        <v>513</v>
      </c>
      <c r="D208" s="140">
        <v>2602000</v>
      </c>
      <c r="E208" s="102">
        <v>2642000</v>
      </c>
      <c r="F208" s="102">
        <v>2487000</v>
      </c>
      <c r="G208" s="102">
        <v>2425000</v>
      </c>
      <c r="H208" s="102">
        <v>2264000</v>
      </c>
      <c r="I208" s="102">
        <v>2150000</v>
      </c>
      <c r="J208" s="102">
        <v>2200000</v>
      </c>
      <c r="K208" s="102"/>
    </row>
    <row r="209" spans="2:12" x14ac:dyDescent="0.2">
      <c r="B209" s="40" t="s">
        <v>283</v>
      </c>
      <c r="C209" s="40" t="s">
        <v>408</v>
      </c>
      <c r="D209" s="57">
        <v>91000</v>
      </c>
      <c r="E209" s="57">
        <v>92000</v>
      </c>
      <c r="F209" s="57">
        <v>87000</v>
      </c>
      <c r="G209" s="57">
        <v>85000</v>
      </c>
      <c r="H209" s="57">
        <v>79000</v>
      </c>
      <c r="I209" s="57">
        <v>75000</v>
      </c>
      <c r="J209" s="57">
        <v>77000</v>
      </c>
      <c r="K209" s="57">
        <v>73000</v>
      </c>
    </row>
    <row r="210" spans="2:12" x14ac:dyDescent="0.2">
      <c r="B210" s="40" t="s">
        <v>283</v>
      </c>
      <c r="C210" s="40" t="s">
        <v>409</v>
      </c>
      <c r="D210" s="57"/>
      <c r="E210" s="57"/>
      <c r="F210" s="57"/>
      <c r="K210" s="57">
        <v>771000</v>
      </c>
    </row>
    <row r="211" spans="2:12" x14ac:dyDescent="0.2">
      <c r="B211" s="40" t="s">
        <v>283</v>
      </c>
      <c r="C211" s="40" t="s">
        <v>410</v>
      </c>
      <c r="D211" s="57"/>
      <c r="E211" s="57"/>
      <c r="F211" s="57"/>
      <c r="K211" s="57">
        <v>58000</v>
      </c>
    </row>
    <row r="212" spans="2:12" x14ac:dyDescent="0.2">
      <c r="B212" s="40" t="s">
        <v>283</v>
      </c>
      <c r="C212" s="40" t="s">
        <v>411</v>
      </c>
      <c r="D212" s="57"/>
      <c r="E212" s="57"/>
      <c r="F212" s="57">
        <v>1956000</v>
      </c>
      <c r="G212" s="57">
        <v>1907000</v>
      </c>
      <c r="H212" s="57">
        <v>1662000</v>
      </c>
      <c r="I212" s="57">
        <v>1699000</v>
      </c>
      <c r="J212" s="57">
        <v>1694000</v>
      </c>
      <c r="K212" s="57">
        <v>1600000</v>
      </c>
    </row>
    <row r="213" spans="2:12" x14ac:dyDescent="0.2">
      <c r="B213" s="40" t="s">
        <v>283</v>
      </c>
      <c r="C213" s="40" t="s">
        <v>412</v>
      </c>
      <c r="D213" s="57">
        <v>45451000</v>
      </c>
      <c r="E213" s="57">
        <v>37793000</v>
      </c>
      <c r="F213" s="57">
        <v>32384000</v>
      </c>
      <c r="G213" s="57">
        <v>28054000</v>
      </c>
      <c r="H213" s="57">
        <v>24000000</v>
      </c>
      <c r="I213" s="57">
        <v>15175000</v>
      </c>
      <c r="J213" s="57">
        <v>12178000</v>
      </c>
      <c r="K213" s="57">
        <v>1642000</v>
      </c>
    </row>
    <row r="214" spans="2:12" x14ac:dyDescent="0.2">
      <c r="B214" s="40" t="s">
        <v>283</v>
      </c>
      <c r="C214" s="40" t="s">
        <v>413</v>
      </c>
      <c r="D214" s="57"/>
      <c r="E214" s="57"/>
      <c r="F214" s="57"/>
      <c r="H214" s="57">
        <v>52000</v>
      </c>
      <c r="I214" s="57">
        <v>49000</v>
      </c>
      <c r="J214" s="57">
        <v>48000</v>
      </c>
    </row>
    <row r="215" spans="2:12" x14ac:dyDescent="0.2">
      <c r="B215" s="40" t="s">
        <v>283</v>
      </c>
      <c r="C215" s="40" t="s">
        <v>414</v>
      </c>
      <c r="D215" s="57">
        <v>12899000</v>
      </c>
      <c r="E215" s="57">
        <v>13098000</v>
      </c>
      <c r="F215" s="57">
        <v>12330000</v>
      </c>
      <c r="G215" s="57">
        <v>12023000</v>
      </c>
      <c r="H215" s="57">
        <v>11214000</v>
      </c>
      <c r="I215" s="57">
        <v>10650000</v>
      </c>
      <c r="J215" s="57">
        <v>60967000</v>
      </c>
      <c r="K215" s="57">
        <v>14021000</v>
      </c>
    </row>
    <row r="216" spans="2:12" x14ac:dyDescent="0.2">
      <c r="B216" s="40" t="s">
        <v>283</v>
      </c>
      <c r="C216" s="40" t="s">
        <v>415</v>
      </c>
      <c r="D216" s="57">
        <v>1416000</v>
      </c>
      <c r="E216" s="57">
        <v>1438000</v>
      </c>
      <c r="F216" s="57">
        <v>1345000</v>
      </c>
      <c r="G216" s="57">
        <v>1320000</v>
      </c>
      <c r="H216" s="57">
        <v>1232000</v>
      </c>
      <c r="I216" s="57">
        <v>1170000</v>
      </c>
      <c r="J216" s="57">
        <v>1472000</v>
      </c>
      <c r="K216" s="57">
        <v>1390000</v>
      </c>
    </row>
    <row r="217" spans="2:12" x14ac:dyDescent="0.2">
      <c r="B217" s="40" t="s">
        <v>283</v>
      </c>
      <c r="C217" s="40" t="s">
        <v>416</v>
      </c>
      <c r="D217" s="57">
        <v>7439000</v>
      </c>
      <c r="E217" s="57">
        <v>7394000</v>
      </c>
      <c r="F217" s="57">
        <v>7365000</v>
      </c>
      <c r="G217" s="57">
        <v>7299000</v>
      </c>
      <c r="H217" s="57">
        <v>6970000</v>
      </c>
      <c r="I217" s="57">
        <v>6839000</v>
      </c>
      <c r="J217" s="57">
        <v>6403000</v>
      </c>
      <c r="L217" s="57" t="s">
        <v>69</v>
      </c>
    </row>
    <row r="218" spans="2:12" x14ac:dyDescent="0.2">
      <c r="B218" s="40" t="s">
        <v>283</v>
      </c>
      <c r="C218" s="40" t="s">
        <v>417</v>
      </c>
      <c r="D218" s="57">
        <v>114562000</v>
      </c>
      <c r="E218" s="57">
        <v>92347000</v>
      </c>
      <c r="F218" s="57">
        <v>107204000</v>
      </c>
      <c r="G218" s="57">
        <v>117783000</v>
      </c>
      <c r="H218" s="57">
        <v>123990000</v>
      </c>
      <c r="I218" s="57">
        <v>64710000</v>
      </c>
      <c r="J218" s="57">
        <v>63905000</v>
      </c>
      <c r="K218" s="57">
        <v>33264000</v>
      </c>
    </row>
    <row r="219" spans="2:12" x14ac:dyDescent="0.2">
      <c r="B219" s="40" t="s">
        <v>283</v>
      </c>
      <c r="C219" s="40" t="s">
        <v>418</v>
      </c>
      <c r="D219" s="57">
        <v>2117585000</v>
      </c>
      <c r="E219" s="57">
        <v>2150235000</v>
      </c>
      <c r="F219" s="57">
        <v>2023230000</v>
      </c>
      <c r="G219" s="57">
        <v>1967822000</v>
      </c>
      <c r="H219" s="57">
        <v>1837010000</v>
      </c>
      <c r="I219" s="57">
        <v>1744549000</v>
      </c>
      <c r="J219" s="57">
        <v>1623110000</v>
      </c>
      <c r="K219" s="57">
        <v>1532912000</v>
      </c>
    </row>
    <row r="220" spans="2:12" x14ac:dyDescent="0.2">
      <c r="B220" s="40" t="s">
        <v>283</v>
      </c>
      <c r="C220" s="40" t="s">
        <v>419</v>
      </c>
      <c r="D220" s="57">
        <v>209000</v>
      </c>
      <c r="E220" s="57">
        <v>612000</v>
      </c>
      <c r="F220" s="57">
        <v>39000</v>
      </c>
      <c r="G220" s="57">
        <v>75000</v>
      </c>
      <c r="H220" s="57">
        <v>2000</v>
      </c>
      <c r="I220" s="57">
        <v>21000</v>
      </c>
      <c r="J220" s="57">
        <v>480000</v>
      </c>
      <c r="K220" s="57">
        <v>25071000</v>
      </c>
    </row>
    <row r="221" spans="2:12" x14ac:dyDescent="0.2">
      <c r="B221" s="40" t="s">
        <v>283</v>
      </c>
      <c r="C221" s="40" t="s">
        <v>420</v>
      </c>
      <c r="D221" s="105" t="s">
        <v>543</v>
      </c>
      <c r="E221" s="57">
        <v>1299000</v>
      </c>
      <c r="F221" s="57">
        <v>1418242</v>
      </c>
      <c r="G221" s="57">
        <v>1150000</v>
      </c>
      <c r="H221" s="57">
        <v>1484000</v>
      </c>
      <c r="I221" s="57">
        <v>1554000</v>
      </c>
      <c r="J221" s="57">
        <v>1415000</v>
      </c>
      <c r="K221" s="57">
        <v>1336000</v>
      </c>
    </row>
    <row r="222" spans="2:12" x14ac:dyDescent="0.2">
      <c r="B222" s="40" t="s">
        <v>283</v>
      </c>
      <c r="C222" s="40" t="s">
        <v>421</v>
      </c>
      <c r="D222" s="57">
        <v>69317000</v>
      </c>
      <c r="E222" s="57">
        <v>70386000</v>
      </c>
      <c r="F222" s="57">
        <v>67034000</v>
      </c>
      <c r="G222" s="57">
        <v>65365000</v>
      </c>
      <c r="H222" s="57">
        <v>61020000</v>
      </c>
      <c r="I222" s="57">
        <v>57949000</v>
      </c>
      <c r="J222" s="57">
        <v>48049000</v>
      </c>
      <c r="K222" s="57">
        <v>45379000</v>
      </c>
    </row>
    <row r="223" spans="2:12" x14ac:dyDescent="0.2">
      <c r="B223" s="40" t="s">
        <v>283</v>
      </c>
      <c r="C223" s="40" t="s">
        <v>422</v>
      </c>
      <c r="D223" s="57"/>
      <c r="E223" s="57"/>
      <c r="F223" s="57"/>
      <c r="G223" s="57">
        <v>58291000</v>
      </c>
      <c r="H223" s="57">
        <v>54416000</v>
      </c>
      <c r="I223" s="57">
        <v>51677000</v>
      </c>
      <c r="J223" s="57">
        <v>45706000</v>
      </c>
      <c r="K223" s="57">
        <v>43166000</v>
      </c>
    </row>
    <row r="224" spans="2:12" x14ac:dyDescent="0.2">
      <c r="B224" s="40" t="s">
        <v>283</v>
      </c>
      <c r="C224" s="40" t="s">
        <v>423</v>
      </c>
      <c r="D224" s="57"/>
      <c r="E224" s="57"/>
      <c r="F224" s="57"/>
      <c r="G224" s="57">
        <v>5172000</v>
      </c>
      <c r="H224" s="57">
        <v>4828000</v>
      </c>
      <c r="I224" s="57">
        <v>4585000</v>
      </c>
      <c r="J224" s="57">
        <v>3897000</v>
      </c>
      <c r="K224" s="57">
        <v>3680000</v>
      </c>
    </row>
    <row r="225" spans="2:12" x14ac:dyDescent="0.2">
      <c r="B225" s="40" t="s">
        <v>283</v>
      </c>
      <c r="C225" s="40" t="s">
        <v>419</v>
      </c>
      <c r="D225" s="57">
        <v>0</v>
      </c>
      <c r="E225" s="57">
        <v>0</v>
      </c>
      <c r="F225" s="57">
        <v>97</v>
      </c>
      <c r="G225" s="57">
        <v>542</v>
      </c>
      <c r="H225" s="57">
        <v>2000</v>
      </c>
      <c r="I225" s="57">
        <v>210000</v>
      </c>
      <c r="J225" s="57">
        <v>212000</v>
      </c>
      <c r="K225" s="57">
        <v>1661000</v>
      </c>
    </row>
    <row r="226" spans="2:12" x14ac:dyDescent="0.2">
      <c r="B226" s="40" t="s">
        <v>424</v>
      </c>
      <c r="C226" s="40" t="s">
        <v>425</v>
      </c>
      <c r="D226" s="57"/>
      <c r="E226" s="57" t="s">
        <v>507</v>
      </c>
      <c r="F226" s="57">
        <v>48000</v>
      </c>
      <c r="G226" s="57">
        <v>0</v>
      </c>
      <c r="H226" s="57">
        <v>9000</v>
      </c>
      <c r="I226" s="57">
        <v>26000</v>
      </c>
      <c r="J226" s="57">
        <v>26275</v>
      </c>
      <c r="K226" s="57">
        <v>159000</v>
      </c>
    </row>
    <row r="227" spans="2:12" x14ac:dyDescent="0.2">
      <c r="B227" s="40" t="s">
        <v>284</v>
      </c>
      <c r="C227" s="40" t="s">
        <v>426</v>
      </c>
      <c r="D227" s="57"/>
      <c r="E227" s="57" t="s">
        <v>506</v>
      </c>
      <c r="F227" s="57" t="s">
        <v>506</v>
      </c>
      <c r="G227" s="57" t="s">
        <v>506</v>
      </c>
      <c r="J227" s="57" t="s">
        <v>509</v>
      </c>
      <c r="K227" s="57">
        <v>1270748</v>
      </c>
    </row>
    <row r="228" spans="2:12" x14ac:dyDescent="0.2">
      <c r="B228" s="40" t="s">
        <v>284</v>
      </c>
      <c r="C228" s="40" t="s">
        <v>427</v>
      </c>
      <c r="D228" s="57"/>
      <c r="E228" s="57">
        <v>3393988</v>
      </c>
      <c r="F228" s="57">
        <v>3792718.02</v>
      </c>
      <c r="G228" s="57">
        <v>4149515.1283999998</v>
      </c>
      <c r="H228" s="57">
        <v>4464745.4556</v>
      </c>
      <c r="J228" s="57" t="s">
        <v>509</v>
      </c>
      <c r="K228" s="57">
        <v>5003042</v>
      </c>
    </row>
    <row r="229" spans="2:12" x14ac:dyDescent="0.2">
      <c r="B229" s="40" t="s">
        <v>284</v>
      </c>
      <c r="C229" s="40" t="s">
        <v>428</v>
      </c>
      <c r="D229" s="57"/>
      <c r="E229" s="57">
        <v>69658339</v>
      </c>
      <c r="F229" s="57">
        <v>71231096.054999992</v>
      </c>
      <c r="G229" s="57">
        <v>71700432.527799994</v>
      </c>
      <c r="H229" s="57">
        <v>73171001.794799998</v>
      </c>
      <c r="J229" s="57" t="s">
        <v>510</v>
      </c>
      <c r="K229" s="57">
        <v>65997987</v>
      </c>
      <c r="L229" s="57" t="s">
        <v>69</v>
      </c>
    </row>
    <row r="230" spans="2:12" x14ac:dyDescent="0.2">
      <c r="B230" s="40" t="s">
        <v>284</v>
      </c>
      <c r="C230" s="40" t="s">
        <v>429</v>
      </c>
      <c r="D230" s="57"/>
      <c r="E230" s="57" t="s">
        <v>506</v>
      </c>
      <c r="F230" s="57" t="s">
        <v>506</v>
      </c>
      <c r="G230" s="57" t="s">
        <v>506</v>
      </c>
      <c r="J230" s="57" t="s">
        <v>510</v>
      </c>
      <c r="K230" s="57">
        <v>12336735</v>
      </c>
    </row>
    <row r="231" spans="2:12" x14ac:dyDescent="0.2">
      <c r="B231" s="40" t="s">
        <v>284</v>
      </c>
      <c r="C231" s="40" t="s">
        <v>430</v>
      </c>
      <c r="D231" s="57"/>
      <c r="E231" s="57">
        <v>35276095</v>
      </c>
      <c r="F231" s="57">
        <v>29429864.939999998</v>
      </c>
      <c r="G231" s="57">
        <v>23993721.680599999</v>
      </c>
      <c r="H231" s="57">
        <v>20123433.525000002</v>
      </c>
      <c r="I231" s="57">
        <v>16887854.743700001</v>
      </c>
      <c r="J231" s="57">
        <v>13398480.375</v>
      </c>
    </row>
    <row r="232" spans="2:12" x14ac:dyDescent="0.2">
      <c r="B232" s="40" t="s">
        <v>285</v>
      </c>
      <c r="C232" s="40" t="s">
        <v>431</v>
      </c>
      <c r="D232" s="57"/>
      <c r="E232" s="57">
        <v>135537360</v>
      </c>
      <c r="F232" s="57">
        <v>80262030</v>
      </c>
      <c r="G232" s="57">
        <v>64356276</v>
      </c>
      <c r="H232" s="57">
        <v>37828753</v>
      </c>
      <c r="I232" s="57">
        <v>36145243</v>
      </c>
      <c r="J232" s="57">
        <v>44825245</v>
      </c>
      <c r="K232" s="57">
        <v>48192459</v>
      </c>
    </row>
    <row r="233" spans="2:12" x14ac:dyDescent="0.2">
      <c r="B233" s="40" t="s">
        <v>286</v>
      </c>
      <c r="C233" s="40" t="s">
        <v>432</v>
      </c>
      <c r="D233" s="57">
        <v>3000</v>
      </c>
      <c r="E233" s="57">
        <v>5000</v>
      </c>
      <c r="F233" s="57">
        <v>5000</v>
      </c>
      <c r="G233" s="57">
        <v>9000</v>
      </c>
      <c r="H233" s="57">
        <v>11000</v>
      </c>
      <c r="I233" s="57">
        <v>10000</v>
      </c>
      <c r="J233" s="57" t="s">
        <v>504</v>
      </c>
      <c r="K233" s="57" t="s">
        <v>504</v>
      </c>
    </row>
    <row r="234" spans="2:12" x14ac:dyDescent="0.2">
      <c r="B234" s="40" t="s">
        <v>286</v>
      </c>
      <c r="C234" s="40" t="s">
        <v>433</v>
      </c>
      <c r="D234" s="57">
        <v>1119000</v>
      </c>
      <c r="E234" s="57">
        <v>1262000</v>
      </c>
      <c r="F234" s="57">
        <v>1264000</v>
      </c>
      <c r="G234" s="57">
        <v>2234000</v>
      </c>
      <c r="H234" s="57">
        <v>2112000</v>
      </c>
      <c r="I234" s="57">
        <v>2481000</v>
      </c>
      <c r="J234" s="57">
        <v>1157668</v>
      </c>
      <c r="K234" s="57">
        <v>1328972</v>
      </c>
    </row>
    <row r="235" spans="2:12" x14ac:dyDescent="0.2">
      <c r="B235" s="40" t="s">
        <v>286</v>
      </c>
      <c r="C235" s="40" t="s">
        <v>434</v>
      </c>
      <c r="D235" s="102">
        <v>3378000</v>
      </c>
      <c r="E235" s="57">
        <v>3250000</v>
      </c>
      <c r="F235" s="57">
        <v>2473000</v>
      </c>
      <c r="G235" s="57">
        <v>5837000</v>
      </c>
      <c r="H235" s="57">
        <v>2837000</v>
      </c>
      <c r="I235" s="57">
        <v>1898000</v>
      </c>
    </row>
    <row r="236" spans="2:12" x14ac:dyDescent="0.2">
      <c r="B236" s="40" t="s">
        <v>286</v>
      </c>
      <c r="C236" s="40" t="s">
        <v>435</v>
      </c>
      <c r="D236" s="57">
        <v>2233000</v>
      </c>
      <c r="E236" s="57">
        <v>2819000</v>
      </c>
      <c r="F236" s="57">
        <v>3132000</v>
      </c>
      <c r="G236" s="57">
        <v>3978000</v>
      </c>
      <c r="H236" s="57">
        <v>4107000</v>
      </c>
      <c r="I236" s="57">
        <v>4295000</v>
      </c>
      <c r="J236" s="57">
        <v>2726255</v>
      </c>
      <c r="K236" s="57">
        <v>3297709</v>
      </c>
    </row>
    <row r="237" spans="2:12" x14ac:dyDescent="0.2">
      <c r="B237" s="40" t="s">
        <v>286</v>
      </c>
      <c r="C237" s="40" t="s">
        <v>436</v>
      </c>
      <c r="D237" s="57">
        <v>15000</v>
      </c>
      <c r="E237" s="57">
        <v>19000</v>
      </c>
      <c r="F237" s="57">
        <v>27000</v>
      </c>
      <c r="G237" s="57">
        <v>44000</v>
      </c>
      <c r="H237" s="57">
        <v>42000</v>
      </c>
      <c r="I237" s="57">
        <v>45000</v>
      </c>
      <c r="J237" s="57">
        <v>26767</v>
      </c>
      <c r="K237" s="57">
        <v>31599</v>
      </c>
    </row>
    <row r="238" spans="2:12" x14ac:dyDescent="0.2">
      <c r="B238" s="40" t="s">
        <v>286</v>
      </c>
      <c r="C238" s="40" t="s">
        <v>437</v>
      </c>
      <c r="D238" s="57">
        <v>303000</v>
      </c>
      <c r="E238" s="57">
        <v>291000</v>
      </c>
      <c r="F238" s="57">
        <v>296000</v>
      </c>
      <c r="G238" s="57">
        <v>324000</v>
      </c>
      <c r="H238" s="57">
        <v>302000</v>
      </c>
      <c r="I238" s="57">
        <v>434000</v>
      </c>
    </row>
    <row r="239" spans="2:12" x14ac:dyDescent="0.2">
      <c r="B239" s="40" t="s">
        <v>286</v>
      </c>
      <c r="C239" s="40" t="s">
        <v>438</v>
      </c>
      <c r="D239" s="57">
        <v>173000</v>
      </c>
      <c r="E239" s="57">
        <v>189000</v>
      </c>
      <c r="F239" s="57">
        <v>230000</v>
      </c>
      <c r="G239" s="57">
        <v>264000</v>
      </c>
      <c r="H239" s="57">
        <v>198000</v>
      </c>
      <c r="I239" s="57">
        <v>254000</v>
      </c>
      <c r="J239" s="57">
        <v>126913</v>
      </c>
      <c r="K239" s="57">
        <v>105070</v>
      </c>
    </row>
    <row r="240" spans="2:12" x14ac:dyDescent="0.2">
      <c r="B240" s="40" t="s">
        <v>286</v>
      </c>
      <c r="C240" s="40" t="s">
        <v>439</v>
      </c>
      <c r="D240" s="57">
        <v>145000</v>
      </c>
      <c r="E240" s="57">
        <v>147000</v>
      </c>
      <c r="F240" s="57">
        <v>185000</v>
      </c>
      <c r="G240" s="57">
        <v>312000</v>
      </c>
      <c r="H240" s="57">
        <v>255000</v>
      </c>
      <c r="I240" s="57">
        <v>322000</v>
      </c>
      <c r="J240" s="57">
        <v>205628</v>
      </c>
      <c r="K240" s="57">
        <v>249468</v>
      </c>
    </row>
    <row r="241" spans="2:11" x14ac:dyDescent="0.2">
      <c r="B241" s="40" t="s">
        <v>286</v>
      </c>
      <c r="C241" s="40" t="s">
        <v>440</v>
      </c>
      <c r="D241" s="57">
        <v>69000</v>
      </c>
      <c r="E241" s="57">
        <v>66000</v>
      </c>
      <c r="F241" s="57">
        <v>72000</v>
      </c>
      <c r="G241" s="57">
        <v>118000</v>
      </c>
      <c r="H241" s="57">
        <v>91000</v>
      </c>
      <c r="I241" s="57">
        <v>123000</v>
      </c>
      <c r="J241" s="57">
        <v>72272</v>
      </c>
      <c r="K241" s="57">
        <v>68904</v>
      </c>
    </row>
    <row r="242" spans="2:11" x14ac:dyDescent="0.2">
      <c r="B242" s="40" t="s">
        <v>286</v>
      </c>
      <c r="C242" s="40" t="s">
        <v>441</v>
      </c>
      <c r="D242" s="57"/>
      <c r="E242" s="57">
        <v>71000</v>
      </c>
      <c r="F242" s="57">
        <v>76000</v>
      </c>
      <c r="G242" s="57">
        <v>119000</v>
      </c>
      <c r="H242" s="57">
        <v>102000</v>
      </c>
      <c r="I242" s="57">
        <v>123000</v>
      </c>
      <c r="J242" s="57">
        <v>41755</v>
      </c>
      <c r="K242" s="57">
        <v>51437</v>
      </c>
    </row>
    <row r="243" spans="2:11" x14ac:dyDescent="0.2">
      <c r="B243" s="40" t="s">
        <v>286</v>
      </c>
      <c r="C243" s="40" t="s">
        <v>442</v>
      </c>
      <c r="D243" s="57">
        <v>68000</v>
      </c>
      <c r="E243" s="57">
        <v>11000</v>
      </c>
      <c r="F243" s="57">
        <v>20000</v>
      </c>
      <c r="G243" s="57">
        <v>20000</v>
      </c>
      <c r="H243" s="57">
        <v>16000</v>
      </c>
      <c r="I243" s="57">
        <v>21000</v>
      </c>
      <c r="J243" s="57">
        <v>22718</v>
      </c>
      <c r="K243" s="57">
        <v>24272</v>
      </c>
    </row>
    <row r="244" spans="2:11" x14ac:dyDescent="0.2">
      <c r="B244" s="40" t="s">
        <v>286</v>
      </c>
      <c r="C244" s="40" t="s">
        <v>443</v>
      </c>
      <c r="D244" s="57">
        <v>8000</v>
      </c>
      <c r="E244" s="57">
        <v>7000</v>
      </c>
      <c r="F244" s="57">
        <v>6000</v>
      </c>
      <c r="G244" s="57">
        <v>12000</v>
      </c>
      <c r="H244" s="57">
        <v>8000</v>
      </c>
      <c r="I244" s="57">
        <v>9000</v>
      </c>
    </row>
    <row r="245" spans="2:11" x14ac:dyDescent="0.2">
      <c r="B245" s="40" t="s">
        <v>286</v>
      </c>
      <c r="C245" s="40" t="s">
        <v>444</v>
      </c>
      <c r="D245" s="57">
        <v>50000</v>
      </c>
      <c r="E245" s="57">
        <v>56000</v>
      </c>
      <c r="F245" s="57">
        <v>61000</v>
      </c>
      <c r="G245" s="57">
        <v>70000</v>
      </c>
      <c r="H245" s="57">
        <v>81000</v>
      </c>
      <c r="I245" s="57">
        <v>97000</v>
      </c>
      <c r="J245" s="57">
        <v>120228</v>
      </c>
      <c r="K245" s="57">
        <v>122805</v>
      </c>
    </row>
    <row r="246" spans="2:11" x14ac:dyDescent="0.2">
      <c r="B246" s="40" t="s">
        <v>286</v>
      </c>
      <c r="C246" s="40" t="s">
        <v>445</v>
      </c>
      <c r="D246" s="57">
        <v>62000</v>
      </c>
      <c r="E246" s="57">
        <v>71000</v>
      </c>
      <c r="F246" s="57">
        <v>89000</v>
      </c>
      <c r="G246" s="57">
        <v>123000</v>
      </c>
      <c r="H246" s="57">
        <v>145000</v>
      </c>
      <c r="I246" s="57">
        <v>157000</v>
      </c>
      <c r="J246" s="57">
        <v>99445</v>
      </c>
      <c r="K246" s="57">
        <v>126059</v>
      </c>
    </row>
    <row r="247" spans="2:11" x14ac:dyDescent="0.2">
      <c r="B247" s="40" t="s">
        <v>286</v>
      </c>
      <c r="C247" s="40" t="s">
        <v>446</v>
      </c>
      <c r="D247" s="57">
        <v>117000</v>
      </c>
      <c r="E247" s="57">
        <v>112000</v>
      </c>
      <c r="F247" s="57">
        <v>94000</v>
      </c>
      <c r="G247" s="57">
        <v>93000</v>
      </c>
      <c r="H247" s="57">
        <v>78000</v>
      </c>
      <c r="I247" s="57">
        <v>73000</v>
      </c>
      <c r="J247" s="57">
        <v>51492</v>
      </c>
      <c r="K247" s="57">
        <v>46186</v>
      </c>
    </row>
    <row r="248" spans="2:11" x14ac:dyDescent="0.2">
      <c r="B248" s="40" t="s">
        <v>286</v>
      </c>
      <c r="C248" s="40" t="s">
        <v>447</v>
      </c>
      <c r="D248" s="57">
        <v>3902000</v>
      </c>
      <c r="E248" s="57">
        <v>3473000</v>
      </c>
      <c r="F248" s="57">
        <v>3214000</v>
      </c>
      <c r="G248" s="57">
        <v>3431000</v>
      </c>
      <c r="H248" s="57">
        <v>3050000</v>
      </c>
      <c r="I248" s="57">
        <v>2709000</v>
      </c>
      <c r="J248" s="57">
        <v>1515095</v>
      </c>
      <c r="K248" s="57">
        <v>1380864</v>
      </c>
    </row>
    <row r="249" spans="2:11" x14ac:dyDescent="0.2">
      <c r="B249" s="40" t="s">
        <v>286</v>
      </c>
      <c r="C249" s="40" t="s">
        <v>448</v>
      </c>
      <c r="D249" s="57">
        <v>4000</v>
      </c>
      <c r="E249" s="57">
        <v>7000</v>
      </c>
      <c r="F249" s="57">
        <v>9000</v>
      </c>
      <c r="G249" s="57">
        <v>17000</v>
      </c>
      <c r="H249" s="57">
        <v>22000</v>
      </c>
      <c r="I249" s="57">
        <v>26000</v>
      </c>
      <c r="J249" s="57">
        <v>26787</v>
      </c>
      <c r="K249" s="57">
        <v>37452</v>
      </c>
    </row>
    <row r="250" spans="2:11" x14ac:dyDescent="0.2">
      <c r="B250" s="40" t="s">
        <v>286</v>
      </c>
      <c r="C250" s="40" t="s">
        <v>449</v>
      </c>
      <c r="D250" s="57">
        <v>1000</v>
      </c>
      <c r="E250" s="57">
        <v>1000</v>
      </c>
      <c r="F250" s="57">
        <v>817</v>
      </c>
      <c r="G250" s="57">
        <v>1400</v>
      </c>
      <c r="H250" s="57">
        <v>1000</v>
      </c>
      <c r="I250" s="57">
        <v>1000</v>
      </c>
      <c r="J250" s="57" t="s">
        <v>504</v>
      </c>
      <c r="K250" s="57" t="s">
        <v>504</v>
      </c>
    </row>
    <row r="251" spans="2:11" x14ac:dyDescent="0.2">
      <c r="B251" s="40" t="s">
        <v>286</v>
      </c>
      <c r="C251" s="40" t="s">
        <v>450</v>
      </c>
      <c r="D251" s="57">
        <v>6000</v>
      </c>
      <c r="E251" s="57">
        <v>6000</v>
      </c>
      <c r="F251" s="57">
        <v>5000</v>
      </c>
      <c r="G251" s="57">
        <v>5000</v>
      </c>
      <c r="H251" s="57">
        <v>3000</v>
      </c>
      <c r="I251" s="57">
        <v>2000</v>
      </c>
      <c r="J251" s="57" t="s">
        <v>504</v>
      </c>
      <c r="K251" s="57" t="s">
        <v>504</v>
      </c>
    </row>
    <row r="252" spans="2:11" x14ac:dyDescent="0.2">
      <c r="B252" s="40" t="s">
        <v>286</v>
      </c>
      <c r="C252" s="40" t="s">
        <v>451</v>
      </c>
      <c r="D252" s="57">
        <v>21000</v>
      </c>
      <c r="E252" s="57">
        <v>21000</v>
      </c>
      <c r="F252" s="57">
        <v>21000</v>
      </c>
      <c r="G252" s="57">
        <v>31000</v>
      </c>
      <c r="H252" s="57">
        <v>26000</v>
      </c>
      <c r="I252" s="57">
        <v>42000</v>
      </c>
      <c r="J252" s="57">
        <v>21071</v>
      </c>
      <c r="K252" s="57">
        <v>24540</v>
      </c>
    </row>
    <row r="253" spans="2:11" x14ac:dyDescent="0.2">
      <c r="B253" s="40" t="s">
        <v>286</v>
      </c>
      <c r="C253" s="40" t="s">
        <v>452</v>
      </c>
      <c r="D253" s="57">
        <v>1000</v>
      </c>
      <c r="E253" s="57">
        <v>1000</v>
      </c>
      <c r="F253" s="57">
        <v>688</v>
      </c>
      <c r="G253" s="57">
        <v>1000</v>
      </c>
      <c r="H253" s="57">
        <v>1000</v>
      </c>
      <c r="I253" s="57">
        <v>1000</v>
      </c>
    </row>
    <row r="254" spans="2:11" x14ac:dyDescent="0.2">
      <c r="B254" s="40" t="s">
        <v>287</v>
      </c>
      <c r="C254" s="40" t="s">
        <v>453</v>
      </c>
      <c r="D254" s="57">
        <v>114000</v>
      </c>
      <c r="E254" s="57">
        <v>114000</v>
      </c>
      <c r="F254" s="57">
        <v>70000</v>
      </c>
      <c r="G254" s="57">
        <v>66000</v>
      </c>
      <c r="H254" s="57">
        <v>33000</v>
      </c>
      <c r="I254" s="57" t="s">
        <v>504</v>
      </c>
      <c r="J254" s="57" t="s">
        <v>504</v>
      </c>
      <c r="K254" s="57" t="s">
        <v>504</v>
      </c>
    </row>
    <row r="255" spans="2:11" x14ac:dyDescent="0.2">
      <c r="B255" s="40" t="s">
        <v>287</v>
      </c>
      <c r="C255" s="40" t="s">
        <v>454</v>
      </c>
      <c r="D255" s="57"/>
      <c r="E255" s="57"/>
      <c r="F255" s="57"/>
      <c r="I255" s="57">
        <v>9052000</v>
      </c>
      <c r="J255" s="57">
        <v>63516288</v>
      </c>
    </row>
    <row r="256" spans="2:11" x14ac:dyDescent="0.2">
      <c r="B256" s="40" t="s">
        <v>287</v>
      </c>
      <c r="C256" s="40" t="s">
        <v>455</v>
      </c>
      <c r="D256" s="57">
        <v>77098000</v>
      </c>
      <c r="E256" s="57">
        <v>89348000</v>
      </c>
      <c r="F256" s="57">
        <v>85430000</v>
      </c>
      <c r="G256" s="57">
        <v>42538000</v>
      </c>
      <c r="H256" s="57">
        <v>11068000</v>
      </c>
      <c r="K256" s="57">
        <v>55497150</v>
      </c>
    </row>
    <row r="257" spans="2:11" x14ac:dyDescent="0.2">
      <c r="B257" s="40" t="s">
        <v>287</v>
      </c>
      <c r="C257" s="40" t="s">
        <v>456</v>
      </c>
      <c r="D257" s="102">
        <v>25496000</v>
      </c>
      <c r="E257" s="57">
        <v>23602000</v>
      </c>
      <c r="F257" s="57">
        <v>14344000</v>
      </c>
      <c r="G257" s="57">
        <v>22305000</v>
      </c>
      <c r="H257" s="57">
        <v>20921000</v>
      </c>
      <c r="I257" s="57">
        <v>17609000</v>
      </c>
      <c r="J257" s="57">
        <v>15263954</v>
      </c>
      <c r="K257" s="57">
        <v>13482370</v>
      </c>
    </row>
    <row r="258" spans="2:11" x14ac:dyDescent="0.2">
      <c r="B258" s="40" t="s">
        <v>287</v>
      </c>
      <c r="C258" s="40" t="s">
        <v>457</v>
      </c>
      <c r="D258" s="102">
        <v>2717000</v>
      </c>
      <c r="E258" s="57">
        <v>2868000</v>
      </c>
      <c r="F258" s="57">
        <v>1284000</v>
      </c>
      <c r="G258" s="57">
        <v>982000</v>
      </c>
      <c r="H258" s="57">
        <v>1701000</v>
      </c>
      <c r="I258" s="57">
        <v>1250000</v>
      </c>
      <c r="J258" s="57">
        <v>1402246</v>
      </c>
      <c r="K258" s="57">
        <v>1076750</v>
      </c>
    </row>
    <row r="259" spans="2:11" x14ac:dyDescent="0.2">
      <c r="B259" s="40" t="s">
        <v>287</v>
      </c>
      <c r="C259" s="40" t="s">
        <v>458</v>
      </c>
      <c r="D259" s="57">
        <v>606000</v>
      </c>
      <c r="E259" s="57">
        <v>635000</v>
      </c>
      <c r="F259" s="57">
        <v>29000</v>
      </c>
      <c r="G259" s="57">
        <v>803000</v>
      </c>
      <c r="H259" s="57">
        <v>506000</v>
      </c>
      <c r="I259" s="57">
        <v>71000</v>
      </c>
      <c r="J259" s="57">
        <v>10667156</v>
      </c>
    </row>
    <row r="260" spans="2:11" x14ac:dyDescent="0.2">
      <c r="B260" s="40" t="s">
        <v>287</v>
      </c>
      <c r="C260" s="40" t="s">
        <v>459</v>
      </c>
      <c r="D260" s="57">
        <v>53783000</v>
      </c>
      <c r="E260" s="57">
        <v>51471000</v>
      </c>
      <c r="F260" s="57">
        <v>59635000</v>
      </c>
      <c r="G260" s="57">
        <v>89925000</v>
      </c>
      <c r="H260" s="57">
        <v>80984000</v>
      </c>
      <c r="I260" s="57">
        <v>60915000</v>
      </c>
      <c r="J260" s="57">
        <v>70725758</v>
      </c>
      <c r="K260" s="57">
        <v>56522440</v>
      </c>
    </row>
    <row r="261" spans="2:11" x14ac:dyDescent="0.2">
      <c r="B261" s="40" t="s">
        <v>287</v>
      </c>
      <c r="C261" s="40" t="s">
        <v>460</v>
      </c>
      <c r="D261" s="57">
        <v>15688000</v>
      </c>
      <c r="E261" s="57">
        <v>24196000</v>
      </c>
      <c r="F261" s="57">
        <v>17978000</v>
      </c>
      <c r="G261" s="57">
        <v>18935000</v>
      </c>
      <c r="H261" s="57">
        <v>67000</v>
      </c>
      <c r="I261" s="57">
        <v>14064000</v>
      </c>
      <c r="J261" s="57">
        <v>13867224</v>
      </c>
      <c r="K261" s="57">
        <v>12168005</v>
      </c>
    </row>
    <row r="262" spans="2:11" x14ac:dyDescent="0.2">
      <c r="B262" s="40" t="s">
        <v>287</v>
      </c>
      <c r="C262" s="40" t="s">
        <v>461</v>
      </c>
      <c r="D262" s="57">
        <v>3027000</v>
      </c>
      <c r="E262" s="57">
        <v>2806000</v>
      </c>
      <c r="F262" s="57">
        <v>1849000</v>
      </c>
      <c r="G262" s="57">
        <v>2442000</v>
      </c>
      <c r="H262" s="57">
        <v>198000</v>
      </c>
      <c r="I262" s="57">
        <v>1794000</v>
      </c>
      <c r="J262" s="57">
        <v>1663468</v>
      </c>
      <c r="K262" s="57">
        <v>1241000</v>
      </c>
    </row>
    <row r="263" spans="2:11" x14ac:dyDescent="0.2">
      <c r="B263" s="40" t="s">
        <v>287</v>
      </c>
      <c r="C263" s="40" t="s">
        <v>462</v>
      </c>
      <c r="D263" s="57">
        <v>3197000</v>
      </c>
      <c r="E263" s="57">
        <v>2899000</v>
      </c>
      <c r="F263" s="57">
        <v>1566000</v>
      </c>
      <c r="G263" s="57">
        <v>2445000</v>
      </c>
      <c r="H263" s="57">
        <v>2021000</v>
      </c>
      <c r="I263" s="57">
        <v>609000</v>
      </c>
      <c r="J263" s="57">
        <v>457040</v>
      </c>
      <c r="K263" s="57">
        <v>317915</v>
      </c>
    </row>
    <row r="264" spans="2:11" x14ac:dyDescent="0.2">
      <c r="B264" s="40" t="s">
        <v>287</v>
      </c>
      <c r="C264" s="40" t="s">
        <v>463</v>
      </c>
      <c r="D264" s="57"/>
      <c r="E264" s="57"/>
      <c r="F264" s="57"/>
      <c r="K264" s="57">
        <v>7142320</v>
      </c>
    </row>
    <row r="265" spans="2:11" x14ac:dyDescent="0.2">
      <c r="B265" s="40" t="s">
        <v>287</v>
      </c>
      <c r="C265" s="40" t="s">
        <v>464</v>
      </c>
      <c r="D265" s="57">
        <v>9406000</v>
      </c>
      <c r="E265" s="57">
        <v>8673000</v>
      </c>
      <c r="F265" s="57">
        <v>7825000</v>
      </c>
      <c r="G265" s="57">
        <v>9068000</v>
      </c>
      <c r="H265" s="57">
        <v>6601000</v>
      </c>
      <c r="I265" s="57">
        <v>6956000</v>
      </c>
      <c r="J265" s="57">
        <v>6369404</v>
      </c>
      <c r="K265" s="57">
        <v>6960185</v>
      </c>
    </row>
    <row r="266" spans="2:11" x14ac:dyDescent="0.2">
      <c r="B266" s="40" t="s">
        <v>287</v>
      </c>
      <c r="C266" s="40" t="s">
        <v>465</v>
      </c>
      <c r="D266" s="57">
        <v>16318000</v>
      </c>
      <c r="E266" s="57">
        <v>17777000</v>
      </c>
      <c r="F266" s="57">
        <v>32004000</v>
      </c>
      <c r="G266" s="57">
        <v>23613000</v>
      </c>
      <c r="H266" s="57">
        <v>18880000</v>
      </c>
      <c r="I266" s="57">
        <v>4765000</v>
      </c>
      <c r="J266" s="57">
        <v>5034926</v>
      </c>
      <c r="K266" s="57">
        <v>5388495</v>
      </c>
    </row>
    <row r="267" spans="2:11" x14ac:dyDescent="0.2">
      <c r="B267" s="40" t="s">
        <v>287</v>
      </c>
      <c r="C267" s="40" t="s">
        <v>466</v>
      </c>
      <c r="D267" s="57">
        <v>942000</v>
      </c>
      <c r="E267" s="57">
        <v>760000</v>
      </c>
      <c r="F267" s="57">
        <v>125000</v>
      </c>
      <c r="G267" s="57">
        <v>950000</v>
      </c>
      <c r="H267" s="57">
        <v>581000</v>
      </c>
      <c r="I267" s="57">
        <v>696000</v>
      </c>
      <c r="J267" s="57">
        <v>830158</v>
      </c>
      <c r="K267" s="57">
        <v>730365</v>
      </c>
    </row>
    <row r="268" spans="2:11" x14ac:dyDescent="0.2">
      <c r="B268" s="40" t="s">
        <v>287</v>
      </c>
      <c r="C268" s="40" t="s">
        <v>467</v>
      </c>
      <c r="D268" s="57">
        <v>2606000</v>
      </c>
      <c r="E268" s="57">
        <v>1519000</v>
      </c>
      <c r="F268" s="57">
        <v>905000</v>
      </c>
      <c r="G268" s="57">
        <v>1794000</v>
      </c>
      <c r="H268" s="57">
        <v>548000</v>
      </c>
      <c r="I268" s="57">
        <v>438000</v>
      </c>
      <c r="J268" s="57">
        <v>296288</v>
      </c>
      <c r="K268" s="57">
        <v>166805</v>
      </c>
    </row>
    <row r="269" spans="2:11" x14ac:dyDescent="0.2">
      <c r="B269" s="40" t="s">
        <v>287</v>
      </c>
      <c r="C269" s="40" t="s">
        <v>430</v>
      </c>
      <c r="D269" s="57">
        <v>2904000</v>
      </c>
      <c r="E269" s="57">
        <v>2401000</v>
      </c>
      <c r="F269" s="57">
        <v>1498000</v>
      </c>
      <c r="G269" s="57">
        <v>384000</v>
      </c>
      <c r="H269" s="57">
        <v>748000</v>
      </c>
      <c r="I269" s="57">
        <v>549000</v>
      </c>
      <c r="J269" s="57">
        <v>460192</v>
      </c>
      <c r="K269" s="57">
        <v>1873910</v>
      </c>
    </row>
    <row r="270" spans="2:11" x14ac:dyDescent="0.2">
      <c r="B270" s="40" t="s">
        <v>287</v>
      </c>
      <c r="C270" s="40" t="s">
        <v>468</v>
      </c>
      <c r="D270" s="57">
        <v>596000</v>
      </c>
      <c r="E270" s="57">
        <v>456000</v>
      </c>
      <c r="F270" s="57">
        <v>251000</v>
      </c>
      <c r="G270" s="57">
        <v>996000</v>
      </c>
      <c r="H270" s="57">
        <v>394000</v>
      </c>
      <c r="I270" s="57">
        <v>407000</v>
      </c>
      <c r="J270" s="57">
        <v>252160</v>
      </c>
      <c r="K270" s="57">
        <v>280685</v>
      </c>
    </row>
    <row r="271" spans="2:11" x14ac:dyDescent="0.2">
      <c r="B271" s="40" t="s">
        <v>287</v>
      </c>
      <c r="C271" s="40" t="s">
        <v>469</v>
      </c>
      <c r="D271" s="57">
        <v>4685000</v>
      </c>
      <c r="E271" s="57">
        <v>4254000</v>
      </c>
      <c r="F271" s="57">
        <v>3017000</v>
      </c>
      <c r="G271" s="57">
        <v>77000</v>
      </c>
    </row>
    <row r="272" spans="2:11" x14ac:dyDescent="0.2">
      <c r="B272" s="40" t="s">
        <v>287</v>
      </c>
      <c r="C272" s="40" t="s">
        <v>470</v>
      </c>
      <c r="D272" s="57">
        <v>2000</v>
      </c>
      <c r="E272" s="57">
        <v>29000</v>
      </c>
      <c r="F272" s="57">
        <v>8000</v>
      </c>
      <c r="G272" s="57">
        <v>110000</v>
      </c>
      <c r="H272" s="57">
        <v>77000</v>
      </c>
      <c r="I272" s="57">
        <v>73000</v>
      </c>
      <c r="J272" s="57" t="s">
        <v>504</v>
      </c>
      <c r="K272" s="57" t="s">
        <v>504</v>
      </c>
    </row>
    <row r="273" spans="2:11" x14ac:dyDescent="0.2">
      <c r="B273" s="40" t="s">
        <v>287</v>
      </c>
      <c r="C273" s="40" t="s">
        <v>471</v>
      </c>
      <c r="D273" s="57">
        <v>22622000</v>
      </c>
      <c r="E273" s="57">
        <v>27012000</v>
      </c>
      <c r="F273" s="57">
        <v>29590000</v>
      </c>
      <c r="G273" s="57">
        <v>57526000</v>
      </c>
      <c r="H273" s="57">
        <v>44168000</v>
      </c>
    </row>
    <row r="274" spans="2:11" x14ac:dyDescent="0.2">
      <c r="B274" s="40" t="s">
        <v>287</v>
      </c>
      <c r="C274" s="40" t="s">
        <v>472</v>
      </c>
      <c r="D274" s="57">
        <v>70000</v>
      </c>
      <c r="E274" s="57">
        <v>119000</v>
      </c>
      <c r="F274" s="57">
        <v>50000</v>
      </c>
    </row>
    <row r="275" spans="2:11" x14ac:dyDescent="0.2">
      <c r="B275" s="40" t="s">
        <v>288</v>
      </c>
      <c r="C275" s="40" t="s">
        <v>473</v>
      </c>
      <c r="D275" s="57">
        <v>209000</v>
      </c>
      <c r="E275" s="57">
        <v>194000</v>
      </c>
      <c r="F275" s="57">
        <v>147000</v>
      </c>
    </row>
    <row r="276" spans="2:11" x14ac:dyDescent="0.2">
      <c r="B276" s="40" t="s">
        <v>288</v>
      </c>
      <c r="C276" s="40" t="s">
        <v>474</v>
      </c>
      <c r="D276" s="57">
        <v>940000</v>
      </c>
      <c r="E276" s="57">
        <v>783000</v>
      </c>
      <c r="F276" s="57">
        <v>642000</v>
      </c>
    </row>
    <row r="277" spans="2:11" x14ac:dyDescent="0.2">
      <c r="B277" s="40" t="s">
        <v>288</v>
      </c>
      <c r="C277" s="40" t="s">
        <v>475</v>
      </c>
      <c r="D277" s="57">
        <v>151000</v>
      </c>
      <c r="E277" s="57">
        <v>652000</v>
      </c>
      <c r="F277" s="57">
        <v>72000</v>
      </c>
    </row>
    <row r="278" spans="2:11" x14ac:dyDescent="0.2">
      <c r="B278" s="40" t="s">
        <v>288</v>
      </c>
      <c r="C278" s="40" t="s">
        <v>514</v>
      </c>
      <c r="D278" s="57">
        <v>3000</v>
      </c>
      <c r="E278" s="57">
        <v>400</v>
      </c>
      <c r="F278" s="57">
        <v>43000</v>
      </c>
    </row>
    <row r="279" spans="2:11" x14ac:dyDescent="0.2">
      <c r="B279" s="40" t="s">
        <v>288</v>
      </c>
      <c r="C279" s="40" t="s">
        <v>476</v>
      </c>
      <c r="D279" s="57">
        <v>35604000</v>
      </c>
      <c r="E279" s="57">
        <v>64437000</v>
      </c>
      <c r="F279" s="57">
        <v>58977000</v>
      </c>
    </row>
    <row r="280" spans="2:11" x14ac:dyDescent="0.2">
      <c r="B280" s="40" t="s">
        <v>288</v>
      </c>
      <c r="C280" s="40" t="s">
        <v>477</v>
      </c>
      <c r="D280" s="57">
        <v>12579000</v>
      </c>
      <c r="E280" s="57">
        <v>9226000</v>
      </c>
      <c r="F280" s="57"/>
    </row>
    <row r="281" spans="2:11" x14ac:dyDescent="0.2">
      <c r="B281" s="40" t="s">
        <v>289</v>
      </c>
      <c r="C281" s="40" t="s">
        <v>478</v>
      </c>
      <c r="D281" s="57"/>
      <c r="E281" s="57"/>
      <c r="F281" s="57"/>
      <c r="I281" s="57">
        <v>51010000</v>
      </c>
      <c r="J281" s="57">
        <v>38381000</v>
      </c>
      <c r="K281" s="57">
        <v>35441785</v>
      </c>
    </row>
    <row r="282" spans="2:11" x14ac:dyDescent="0.2">
      <c r="B282" s="40" t="s">
        <v>479</v>
      </c>
      <c r="C282" s="40" t="s">
        <v>480</v>
      </c>
      <c r="D282" s="57"/>
      <c r="E282" s="57">
        <v>0</v>
      </c>
      <c r="F282" s="57">
        <v>188000</v>
      </c>
      <c r="G282" s="57">
        <v>369000</v>
      </c>
      <c r="H282" s="57">
        <v>1398000</v>
      </c>
      <c r="I282" s="57">
        <v>2030000</v>
      </c>
      <c r="J282" s="57">
        <v>2432300</v>
      </c>
      <c r="K282" s="57">
        <v>3040500</v>
      </c>
    </row>
    <row r="283" spans="2:11" x14ac:dyDescent="0.2">
      <c r="B283" s="40" t="s">
        <v>479</v>
      </c>
      <c r="C283" s="40" t="s">
        <v>481</v>
      </c>
      <c r="D283" s="57">
        <v>189889000</v>
      </c>
      <c r="E283" s="57">
        <v>0</v>
      </c>
      <c r="F283" s="57">
        <f>928000+7979000+512000+363000+983000+9673000+7324000+5000+402290000+1795000+29455000</f>
        <v>461307000</v>
      </c>
      <c r="G283" s="57">
        <f>4242000+24051000+8313000+573000+7270000+10661000+94032000+14168000+268925000</f>
        <v>432235000</v>
      </c>
      <c r="H283" s="57">
        <v>183522000</v>
      </c>
      <c r="I283" s="57">
        <v>112777000</v>
      </c>
      <c r="J283" s="57">
        <v>57000000</v>
      </c>
      <c r="K283" s="57">
        <v>106000000</v>
      </c>
    </row>
    <row r="284" spans="2:11" x14ac:dyDescent="0.2">
      <c r="B284" s="40" t="s">
        <v>479</v>
      </c>
      <c r="C284" s="40" t="s">
        <v>482</v>
      </c>
      <c r="D284" s="57">
        <v>10228000</v>
      </c>
      <c r="E284" s="57">
        <v>11102000</v>
      </c>
      <c r="F284" s="57">
        <v>6177000</v>
      </c>
      <c r="G284" s="57">
        <v>6851000</v>
      </c>
      <c r="H284" s="57">
        <v>8119000</v>
      </c>
      <c r="I284" s="57">
        <v>6026000</v>
      </c>
      <c r="J284" s="57">
        <v>7197000</v>
      </c>
      <c r="K284" s="57">
        <v>9122000</v>
      </c>
    </row>
    <row r="285" spans="2:11" x14ac:dyDescent="0.2">
      <c r="B285" s="40" t="s">
        <v>479</v>
      </c>
      <c r="C285" s="40" t="s">
        <v>483</v>
      </c>
      <c r="D285" s="57">
        <v>60207000</v>
      </c>
      <c r="E285" s="57">
        <v>19527000</v>
      </c>
      <c r="F285" s="57">
        <v>14339000</v>
      </c>
      <c r="G285" s="57">
        <v>25023000</v>
      </c>
      <c r="H285" s="57">
        <v>21144000</v>
      </c>
      <c r="I285" s="57">
        <v>30687000</v>
      </c>
    </row>
    <row r="286" spans="2:11" x14ac:dyDescent="0.2">
      <c r="B286" s="40" t="s">
        <v>479</v>
      </c>
      <c r="C286" s="40" t="s">
        <v>484</v>
      </c>
      <c r="D286" s="102"/>
      <c r="E286" s="102"/>
      <c r="F286" s="102">
        <v>644000</v>
      </c>
      <c r="G286" s="102">
        <v>47850</v>
      </c>
      <c r="H286" s="102">
        <v>61000</v>
      </c>
      <c r="I286" s="102">
        <v>4559000</v>
      </c>
      <c r="J286" s="102">
        <v>21532800</v>
      </c>
      <c r="K286" s="102"/>
    </row>
    <row r="287" spans="2:11" x14ac:dyDescent="0.2">
      <c r="B287" s="40" t="s">
        <v>290</v>
      </c>
      <c r="C287" s="40" t="s">
        <v>485</v>
      </c>
      <c r="D287" s="57"/>
      <c r="E287" s="57"/>
      <c r="F287" s="57"/>
      <c r="J287" s="57">
        <v>216000</v>
      </c>
      <c r="K287" s="57">
        <v>48000</v>
      </c>
    </row>
    <row r="288" spans="2:11" x14ac:dyDescent="0.2">
      <c r="B288" s="40" t="s">
        <v>290</v>
      </c>
      <c r="C288" s="40" t="s">
        <v>486</v>
      </c>
      <c r="D288" s="57">
        <v>1464000</v>
      </c>
      <c r="E288" s="57">
        <v>1167000</v>
      </c>
      <c r="F288" s="57">
        <v>1689000</v>
      </c>
      <c r="I288" s="57">
        <v>2195000</v>
      </c>
      <c r="J288" s="57">
        <v>229000</v>
      </c>
    </row>
    <row r="289" spans="2:11" x14ac:dyDescent="0.2">
      <c r="B289" s="40" t="s">
        <v>487</v>
      </c>
      <c r="C289" s="40" t="s">
        <v>488</v>
      </c>
      <c r="D289" s="57"/>
      <c r="E289" s="57"/>
      <c r="F289" s="57" t="s">
        <v>302</v>
      </c>
      <c r="G289" s="57" t="s">
        <v>302</v>
      </c>
      <c r="H289" s="57" t="s">
        <v>302</v>
      </c>
      <c r="I289" s="57">
        <v>33714000</v>
      </c>
      <c r="J289" s="57">
        <v>96648000</v>
      </c>
      <c r="K289" s="57">
        <v>119261050</v>
      </c>
    </row>
    <row r="290" spans="2:11" x14ac:dyDescent="0.2">
      <c r="B290" s="40" t="s">
        <v>487</v>
      </c>
      <c r="C290" s="40" t="s">
        <v>489</v>
      </c>
      <c r="D290" s="57"/>
      <c r="E290" s="57"/>
      <c r="F290" s="57" t="s">
        <v>302</v>
      </c>
      <c r="G290" s="57" t="s">
        <v>302</v>
      </c>
      <c r="H290" s="57" t="s">
        <v>302</v>
      </c>
      <c r="I290" s="57">
        <v>2426000</v>
      </c>
      <c r="J290" s="57">
        <v>466000</v>
      </c>
      <c r="K290" s="57">
        <v>349000</v>
      </c>
    </row>
    <row r="291" spans="2:11" x14ac:dyDescent="0.2">
      <c r="B291" s="40" t="s">
        <v>487</v>
      </c>
      <c r="C291" s="40" t="s">
        <v>490</v>
      </c>
      <c r="D291" s="57"/>
      <c r="E291" s="57"/>
      <c r="F291" s="57">
        <v>0</v>
      </c>
      <c r="G291" s="57">
        <v>0</v>
      </c>
      <c r="H291" s="57">
        <v>0</v>
      </c>
      <c r="I291" s="57">
        <v>0</v>
      </c>
      <c r="J291" s="57">
        <v>0</v>
      </c>
      <c r="K291" s="57">
        <v>298000</v>
      </c>
    </row>
    <row r="292" spans="2:11" x14ac:dyDescent="0.2">
      <c r="B292" s="40" t="s">
        <v>487</v>
      </c>
      <c r="C292" s="40" t="s">
        <v>491</v>
      </c>
      <c r="D292" s="57">
        <v>11000</v>
      </c>
      <c r="E292" s="57">
        <v>6000</v>
      </c>
      <c r="F292" s="57">
        <v>10000</v>
      </c>
      <c r="G292" s="57">
        <v>0</v>
      </c>
      <c r="H292" s="57">
        <v>28000</v>
      </c>
      <c r="I292" s="57">
        <v>138000</v>
      </c>
      <c r="J292" s="57">
        <v>22000</v>
      </c>
    </row>
    <row r="293" spans="2:11" x14ac:dyDescent="0.2">
      <c r="B293" s="40" t="s">
        <v>492</v>
      </c>
      <c r="C293" s="40" t="s">
        <v>488</v>
      </c>
      <c r="D293" s="57"/>
      <c r="E293" s="57" t="s">
        <v>506</v>
      </c>
      <c r="F293" s="57" t="s">
        <v>302</v>
      </c>
      <c r="G293" s="57" t="s">
        <v>302</v>
      </c>
      <c r="H293" s="57" t="s">
        <v>302</v>
      </c>
      <c r="I293" s="57">
        <v>6364000</v>
      </c>
      <c r="J293" s="57">
        <v>16485000</v>
      </c>
      <c r="K293" s="57">
        <v>20141000</v>
      </c>
    </row>
    <row r="294" spans="2:11" x14ac:dyDescent="0.2">
      <c r="B294" s="40" t="s">
        <v>492</v>
      </c>
      <c r="C294" s="40" t="s">
        <v>489</v>
      </c>
      <c r="D294" s="57"/>
      <c r="E294" s="57" t="s">
        <v>506</v>
      </c>
      <c r="F294" s="57" t="s">
        <v>302</v>
      </c>
      <c r="G294" s="57" t="s">
        <v>302</v>
      </c>
      <c r="H294" s="57" t="s">
        <v>302</v>
      </c>
      <c r="I294" s="57">
        <v>492000</v>
      </c>
      <c r="J294" s="57">
        <v>61000</v>
      </c>
      <c r="K294" s="57">
        <v>77000</v>
      </c>
    </row>
    <row r="295" spans="2:11" x14ac:dyDescent="0.2">
      <c r="B295" s="40" t="s">
        <v>492</v>
      </c>
      <c r="C295" s="40" t="s">
        <v>493</v>
      </c>
      <c r="D295" s="57">
        <v>4000</v>
      </c>
      <c r="E295" s="57">
        <v>6000</v>
      </c>
      <c r="F295" s="57">
        <v>6000</v>
      </c>
      <c r="G295" s="57">
        <v>0</v>
      </c>
      <c r="H295" s="57">
        <v>0</v>
      </c>
      <c r="I295" s="57">
        <v>0</v>
      </c>
    </row>
    <row r="296" spans="2:11" x14ac:dyDescent="0.2">
      <c r="B296" s="40" t="s">
        <v>291</v>
      </c>
      <c r="C296" s="40" t="s">
        <v>494</v>
      </c>
      <c r="D296" s="57">
        <v>0</v>
      </c>
      <c r="E296" s="57">
        <v>0</v>
      </c>
      <c r="F296" s="57">
        <v>0</v>
      </c>
      <c r="G296" s="57">
        <v>2306000</v>
      </c>
      <c r="H296" s="57">
        <v>361000</v>
      </c>
      <c r="I296" s="57">
        <v>1314000</v>
      </c>
      <c r="J296" s="57">
        <v>333000</v>
      </c>
      <c r="K296" s="57">
        <v>2243618</v>
      </c>
    </row>
    <row r="297" spans="2:11" x14ac:dyDescent="0.2">
      <c r="B297" s="40" t="s">
        <v>292</v>
      </c>
      <c r="C297" s="40" t="s">
        <v>495</v>
      </c>
      <c r="D297" s="57">
        <v>13000</v>
      </c>
      <c r="E297" s="57">
        <v>10000</v>
      </c>
      <c r="F297" s="57">
        <v>9000</v>
      </c>
      <c r="G297" s="57">
        <v>7000</v>
      </c>
      <c r="H297" s="57">
        <v>7000</v>
      </c>
      <c r="I297" s="57">
        <v>7000</v>
      </c>
      <c r="J297" s="57">
        <v>5756</v>
      </c>
      <c r="K297" s="57">
        <v>4786</v>
      </c>
    </row>
    <row r="298" spans="2:11" x14ac:dyDescent="0.2">
      <c r="B298" s="40" t="s">
        <v>292</v>
      </c>
      <c r="C298" s="40" t="s">
        <v>496</v>
      </c>
      <c r="D298" s="57">
        <v>20000</v>
      </c>
      <c r="E298" s="57">
        <v>18000</v>
      </c>
      <c r="F298" s="57">
        <v>17000</v>
      </c>
      <c r="G298" s="57">
        <v>14000</v>
      </c>
      <c r="H298" s="57">
        <v>15000</v>
      </c>
      <c r="I298" s="57">
        <v>11000</v>
      </c>
      <c r="J298" s="57">
        <v>11114</v>
      </c>
      <c r="K298" s="57">
        <v>8369</v>
      </c>
    </row>
    <row r="299" spans="2:11" x14ac:dyDescent="0.2">
      <c r="B299" s="40" t="s">
        <v>292</v>
      </c>
      <c r="C299" s="40" t="s">
        <v>497</v>
      </c>
      <c r="D299" s="57"/>
      <c r="E299" s="57"/>
      <c r="F299" s="57" t="s">
        <v>504</v>
      </c>
      <c r="G299" s="57" t="s">
        <v>504</v>
      </c>
      <c r="H299" s="57" t="s">
        <v>504</v>
      </c>
      <c r="I299" s="57" t="s">
        <v>504</v>
      </c>
      <c r="J299" s="57">
        <v>4292</v>
      </c>
      <c r="K299" s="57">
        <v>19490</v>
      </c>
    </row>
    <row r="300" spans="2:11" x14ac:dyDescent="0.2">
      <c r="B300" s="40" t="s">
        <v>292</v>
      </c>
      <c r="C300" s="40" t="s">
        <v>498</v>
      </c>
      <c r="D300" s="57">
        <v>1000</v>
      </c>
      <c r="E300" s="57">
        <v>1000</v>
      </c>
      <c r="F300" s="57">
        <v>4000</v>
      </c>
      <c r="G300" s="57">
        <v>3000</v>
      </c>
      <c r="H300" s="57">
        <v>7000</v>
      </c>
      <c r="I300" s="57">
        <v>4000</v>
      </c>
    </row>
    <row r="301" spans="2:11" x14ac:dyDescent="0.2">
      <c r="B301" s="40" t="s">
        <v>293</v>
      </c>
      <c r="C301" s="40" t="s">
        <v>456</v>
      </c>
      <c r="D301" s="57">
        <v>223000</v>
      </c>
      <c r="E301" s="57">
        <v>344000</v>
      </c>
      <c r="F301" s="57">
        <v>139000</v>
      </c>
      <c r="G301" s="57">
        <v>191000</v>
      </c>
      <c r="H301" s="57">
        <v>182000</v>
      </c>
      <c r="I301" s="57">
        <v>189000</v>
      </c>
      <c r="J301" s="57">
        <v>346464</v>
      </c>
      <c r="K301" s="57">
        <v>389605</v>
      </c>
    </row>
    <row r="302" spans="2:11" x14ac:dyDescent="0.2">
      <c r="B302" s="40" t="s">
        <v>293</v>
      </c>
      <c r="C302" s="40" t="s">
        <v>497</v>
      </c>
      <c r="D302" s="57"/>
      <c r="E302" s="57"/>
      <c r="F302" s="57" t="s">
        <v>504</v>
      </c>
      <c r="G302" s="57" t="s">
        <v>504</v>
      </c>
      <c r="H302" s="57" t="s">
        <v>504</v>
      </c>
      <c r="I302" s="57" t="s">
        <v>504</v>
      </c>
      <c r="J302" s="57">
        <v>19296</v>
      </c>
      <c r="K302" s="57">
        <v>88953</v>
      </c>
    </row>
    <row r="303" spans="2:11" x14ac:dyDescent="0.2">
      <c r="B303" s="40" t="s">
        <v>293</v>
      </c>
      <c r="C303" s="40" t="s">
        <v>460</v>
      </c>
      <c r="D303" s="57">
        <v>99000</v>
      </c>
      <c r="E303" s="57">
        <v>138000</v>
      </c>
      <c r="F303" s="57">
        <v>76000</v>
      </c>
      <c r="G303" s="57">
        <v>71000</v>
      </c>
      <c r="H303" s="57">
        <v>67000</v>
      </c>
      <c r="I303" s="57">
        <v>73000</v>
      </c>
      <c r="J303" s="57">
        <v>207792</v>
      </c>
      <c r="K303" s="57">
        <v>197586</v>
      </c>
    </row>
    <row r="304" spans="2:11" x14ac:dyDescent="0.2">
      <c r="B304" s="40" t="s">
        <v>293</v>
      </c>
      <c r="C304" s="40" t="s">
        <v>515</v>
      </c>
      <c r="D304" s="57">
        <v>12000</v>
      </c>
      <c r="E304" s="57">
        <v>4000</v>
      </c>
      <c r="F304" s="57">
        <v>3000</v>
      </c>
      <c r="G304" s="57">
        <v>4000</v>
      </c>
      <c r="H304" s="57">
        <v>4000</v>
      </c>
      <c r="I304" s="57">
        <v>5000</v>
      </c>
      <c r="J304" s="57">
        <v>16992</v>
      </c>
      <c r="K304" s="57">
        <v>8675</v>
      </c>
    </row>
    <row r="305" spans="2:11" x14ac:dyDescent="0.2">
      <c r="B305" s="40" t="s">
        <v>293</v>
      </c>
      <c r="C305" s="40" t="s">
        <v>499</v>
      </c>
      <c r="D305" s="57">
        <v>50000</v>
      </c>
      <c r="E305" s="57">
        <v>46000</v>
      </c>
      <c r="F305" s="57">
        <v>45000</v>
      </c>
      <c r="G305" s="57">
        <v>41000</v>
      </c>
      <c r="H305" s="57">
        <v>38000</v>
      </c>
      <c r="I305" s="57">
        <v>63000</v>
      </c>
    </row>
    <row r="306" spans="2:11" x14ac:dyDescent="0.2">
      <c r="B306" s="40" t="s">
        <v>293</v>
      </c>
      <c r="C306" s="40" t="s">
        <v>500</v>
      </c>
      <c r="D306" s="57">
        <v>26000</v>
      </c>
      <c r="E306" s="57">
        <v>41000</v>
      </c>
      <c r="F306" s="57">
        <v>55000</v>
      </c>
      <c r="G306" s="57">
        <v>35000</v>
      </c>
      <c r="H306" s="57">
        <v>37000</v>
      </c>
      <c r="I306" s="57">
        <v>21000</v>
      </c>
      <c r="J306" s="57">
        <v>21888</v>
      </c>
      <c r="K306" s="57">
        <v>34830</v>
      </c>
    </row>
    <row r="307" spans="2:11" x14ac:dyDescent="0.2">
      <c r="B307" s="40" t="s">
        <v>293</v>
      </c>
      <c r="C307" s="40" t="s">
        <v>501</v>
      </c>
      <c r="D307" s="57">
        <v>69000</v>
      </c>
      <c r="E307" s="57">
        <v>94000</v>
      </c>
      <c r="F307" s="57">
        <v>36000</v>
      </c>
      <c r="G307" s="57">
        <v>27000</v>
      </c>
      <c r="H307" s="57">
        <v>23000</v>
      </c>
      <c r="I307" s="57">
        <v>14000</v>
      </c>
      <c r="J307" s="57">
        <v>20880</v>
      </c>
      <c r="K307" s="57">
        <v>18775</v>
      </c>
    </row>
    <row r="308" spans="2:11" ht="15" x14ac:dyDescent="0.25">
      <c r="B308" s="40"/>
      <c r="C308" s="101" t="s">
        <v>502</v>
      </c>
      <c r="D308" s="57"/>
      <c r="E308" s="57"/>
      <c r="F308" s="57"/>
      <c r="K308" s="57">
        <v>223029413</v>
      </c>
    </row>
    <row r="309" spans="2:11" ht="15" x14ac:dyDescent="0.25">
      <c r="B309" s="40"/>
      <c r="C309" s="101"/>
      <c r="D309" s="61"/>
      <c r="E309" s="61"/>
      <c r="F309" s="61"/>
      <c r="G309" s="61"/>
      <c r="H309" s="61"/>
      <c r="I309" s="61"/>
      <c r="J309" s="61"/>
      <c r="K309" s="61"/>
    </row>
    <row r="311" spans="2:11" x14ac:dyDescent="0.2">
      <c r="B311" t="s">
        <v>3320</v>
      </c>
      <c r="D311" s="57">
        <f t="shared" ref="D311:K311" si="8">SUMIFS(D$107:D$307,$L$107:$L$307,"y")</f>
        <v>7643277000</v>
      </c>
      <c r="E311" s="57">
        <f t="shared" si="8"/>
        <v>8353539339</v>
      </c>
      <c r="F311" s="57">
        <f t="shared" si="8"/>
        <v>6390893096.0550003</v>
      </c>
      <c r="G311" s="57">
        <f t="shared" si="8"/>
        <v>6743654432.5277996</v>
      </c>
      <c r="H311" s="57">
        <f t="shared" si="8"/>
        <v>5555276001.7947998</v>
      </c>
      <c r="I311" s="57">
        <f t="shared" si="8"/>
        <v>2892343000</v>
      </c>
      <c r="J311" s="57">
        <f t="shared" si="8"/>
        <v>2679160000</v>
      </c>
      <c r="K311" s="57">
        <f t="shared" si="8"/>
        <v>1881591987</v>
      </c>
    </row>
    <row r="312" spans="2:11" x14ac:dyDescent="0.2">
      <c r="B312" t="s">
        <v>3321</v>
      </c>
      <c r="D312" s="57">
        <f t="shared" ref="D312:K312" si="9">SUMIFS(D$107:D$307,$L$107:$L$307,"")</f>
        <v>3765078615</v>
      </c>
      <c r="E312" s="57">
        <f t="shared" si="9"/>
        <v>3689644843</v>
      </c>
      <c r="F312" s="57">
        <f t="shared" si="9"/>
        <v>3939909673.96</v>
      </c>
      <c r="G312" s="57">
        <f t="shared" si="9"/>
        <v>3957990304.809</v>
      </c>
      <c r="H312" s="57">
        <f t="shared" si="9"/>
        <v>3267220931.9805999</v>
      </c>
      <c r="I312" s="57">
        <f t="shared" si="9"/>
        <v>3185718747.7437</v>
      </c>
      <c r="J312" s="57">
        <f t="shared" si="9"/>
        <v>3008269975.355</v>
      </c>
      <c r="K312" s="57">
        <f t="shared" si="9"/>
        <v>2680929156</v>
      </c>
    </row>
    <row r="313" spans="2:11" x14ac:dyDescent="0.2">
      <c r="B313" t="s">
        <v>3322</v>
      </c>
      <c r="D313" s="43">
        <f t="shared" ref="D313:K313" si="10">SUM(D311:D312)</f>
        <v>11408355615</v>
      </c>
      <c r="E313" s="43">
        <f t="shared" si="10"/>
        <v>12043184182</v>
      </c>
      <c r="F313" s="43">
        <f t="shared" si="10"/>
        <v>10330802770.014999</v>
      </c>
      <c r="G313" s="57">
        <f t="shared" si="10"/>
        <v>10701644737.3368</v>
      </c>
      <c r="H313" s="57">
        <f t="shared" si="10"/>
        <v>8822496933.7754002</v>
      </c>
      <c r="I313" s="57">
        <f t="shared" si="10"/>
        <v>6078061747.7437</v>
      </c>
      <c r="J313" s="57">
        <f t="shared" si="10"/>
        <v>5687429975.3549995</v>
      </c>
      <c r="K313" s="57">
        <f t="shared" si="10"/>
        <v>4562521143</v>
      </c>
    </row>
  </sheetData>
  <mergeCells count="1">
    <mergeCell ref="D18:I18"/>
  </mergeCells>
  <hyperlinks>
    <hyperlink ref="H15" r:id="rId1"/>
    <hyperlink ref="K16" r:id="rId2"/>
    <hyperlink ref="K17" r:id="rId3"/>
    <hyperlink ref="H4" location="Index!A1" display="Return to Index"/>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0" zoomScaleNormal="70" workbookViewId="0">
      <selection activeCell="H1" sqref="H1"/>
    </sheetView>
  </sheetViews>
  <sheetFormatPr defaultRowHeight="12.75" x14ac:dyDescent="0.2"/>
  <cols>
    <col min="1" max="1" width="24.7109375" bestFit="1" customWidth="1"/>
    <col min="2" max="2" width="31.7109375" style="112" customWidth="1"/>
    <col min="3" max="3" width="19.28515625" bestFit="1" customWidth="1"/>
    <col min="4" max="4" width="19.28515625" customWidth="1"/>
    <col min="5" max="5" width="19.28515625" bestFit="1" customWidth="1"/>
    <col min="6" max="6" width="19.28515625" customWidth="1"/>
    <col min="7" max="10" width="19.28515625" bestFit="1" customWidth="1"/>
    <col min="11" max="11" width="9.42578125" bestFit="1" customWidth="1"/>
    <col min="12" max="13" width="10.42578125" bestFit="1" customWidth="1"/>
    <col min="15" max="15" width="9.5703125" bestFit="1" customWidth="1"/>
  </cols>
  <sheetData>
    <row r="1" spans="1:15" s="100" customFormat="1" x14ac:dyDescent="0.2">
      <c r="A1" s="32" t="s">
        <v>295</v>
      </c>
      <c r="B1" s="112">
        <v>1</v>
      </c>
      <c r="H1" s="48" t="s">
        <v>3630</v>
      </c>
    </row>
    <row r="2" spans="1:15" s="100" customFormat="1" x14ac:dyDescent="0.2">
      <c r="A2" s="32" t="s">
        <v>549</v>
      </c>
      <c r="B2" s="112">
        <v>1</v>
      </c>
    </row>
    <row r="3" spans="1:15" s="100" customFormat="1" x14ac:dyDescent="0.2">
      <c r="A3" s="32"/>
      <c r="B3" s="112"/>
    </row>
    <row r="4" spans="1:15" s="313" customFormat="1" x14ac:dyDescent="0.2">
      <c r="A4" s="32"/>
      <c r="B4" s="112"/>
    </row>
    <row r="5" spans="1:15" s="100" customFormat="1" x14ac:dyDescent="0.2">
      <c r="A5" s="48" t="s">
        <v>550</v>
      </c>
      <c r="B5" s="112"/>
    </row>
    <row r="6" spans="1:15" s="100" customFormat="1" x14ac:dyDescent="0.2">
      <c r="A6" s="32"/>
      <c r="B6" s="112"/>
    </row>
    <row r="7" spans="1:15" s="107" customFormat="1" ht="51" x14ac:dyDescent="0.2">
      <c r="A7" s="107" t="s">
        <v>214</v>
      </c>
      <c r="B7" s="111" t="s">
        <v>304</v>
      </c>
      <c r="C7" s="108" t="s">
        <v>301</v>
      </c>
      <c r="D7" s="108" t="s">
        <v>275</v>
      </c>
      <c r="E7" s="108" t="s">
        <v>276</v>
      </c>
      <c r="F7" s="108" t="s">
        <v>277</v>
      </c>
      <c r="G7" s="108" t="s">
        <v>278</v>
      </c>
      <c r="H7" s="108" t="s">
        <v>279</v>
      </c>
      <c r="I7" s="108" t="s">
        <v>280</v>
      </c>
      <c r="J7" s="108" t="s">
        <v>281</v>
      </c>
      <c r="K7" s="109" t="s">
        <v>547</v>
      </c>
      <c r="L7" s="109" t="s">
        <v>548</v>
      </c>
      <c r="M7" s="110" t="s">
        <v>544</v>
      </c>
      <c r="N7" s="111" t="s">
        <v>545</v>
      </c>
      <c r="O7" s="111" t="s">
        <v>3446</v>
      </c>
    </row>
    <row r="8" spans="1:15" s="107" customFormat="1" x14ac:dyDescent="0.2">
      <c r="A8" s="754" t="s">
        <v>3585</v>
      </c>
      <c r="B8" s="754"/>
      <c r="C8" s="754"/>
      <c r="D8" s="754"/>
      <c r="E8" s="754"/>
      <c r="F8" s="754"/>
      <c r="G8" s="754"/>
      <c r="H8" s="754"/>
      <c r="I8" s="754"/>
      <c r="J8" s="754"/>
      <c r="K8" s="754"/>
      <c r="L8" s="754"/>
      <c r="M8" s="754"/>
      <c r="N8" s="754"/>
      <c r="O8" s="754"/>
    </row>
    <row r="9" spans="1:15" s="40" customFormat="1" ht="25.5" x14ac:dyDescent="0.2">
      <c r="A9" s="40" t="s">
        <v>305</v>
      </c>
      <c r="B9" s="314" t="s">
        <v>311</v>
      </c>
      <c r="C9" s="57">
        <v>88028000</v>
      </c>
      <c r="D9" s="57">
        <v>81083000</v>
      </c>
      <c r="E9" s="57">
        <v>59749000</v>
      </c>
      <c r="F9" s="57">
        <v>18181000</v>
      </c>
      <c r="G9" s="57">
        <v>2917000</v>
      </c>
      <c r="H9" s="57">
        <v>1239000</v>
      </c>
      <c r="I9" s="57">
        <v>1493097</v>
      </c>
      <c r="J9" s="57">
        <v>0</v>
      </c>
      <c r="K9" s="60" t="s">
        <v>546</v>
      </c>
      <c r="L9" s="60">
        <v>5795.6651845124597</v>
      </c>
      <c r="M9" s="60">
        <v>5795.6651845124597</v>
      </c>
      <c r="N9" s="40">
        <v>3</v>
      </c>
      <c r="O9" s="239">
        <f>$C9/$I9</f>
        <v>58.956651845124597</v>
      </c>
    </row>
    <row r="10" spans="1:15" s="40" customFormat="1" x14ac:dyDescent="0.2">
      <c r="A10" s="40" t="s">
        <v>283</v>
      </c>
      <c r="B10" s="314" t="s">
        <v>412</v>
      </c>
      <c r="C10" s="57">
        <v>45451000</v>
      </c>
      <c r="D10" s="57">
        <v>37793000</v>
      </c>
      <c r="E10" s="57">
        <v>32384000</v>
      </c>
      <c r="F10" s="57">
        <v>28054000</v>
      </c>
      <c r="G10" s="57">
        <v>24000000</v>
      </c>
      <c r="H10" s="57">
        <v>15175000</v>
      </c>
      <c r="I10" s="57">
        <v>12178000</v>
      </c>
      <c r="J10" s="57">
        <v>1642000</v>
      </c>
      <c r="K10" s="60">
        <v>2668.026796589525</v>
      </c>
      <c r="L10" s="60"/>
      <c r="M10" s="60">
        <v>2668.026796589525</v>
      </c>
      <c r="N10" s="40">
        <v>4</v>
      </c>
      <c r="O10" s="239">
        <f>$C10/$J10</f>
        <v>27.680267965895251</v>
      </c>
    </row>
    <row r="11" spans="1:15" s="40" customFormat="1" x14ac:dyDescent="0.2">
      <c r="A11" s="40" t="s">
        <v>350</v>
      </c>
      <c r="B11" s="314" t="s">
        <v>352</v>
      </c>
      <c r="C11" s="57">
        <v>22210000</v>
      </c>
      <c r="D11" s="57">
        <v>19150000</v>
      </c>
      <c r="E11" s="57">
        <v>19312000</v>
      </c>
      <c r="F11" s="57">
        <v>16862000</v>
      </c>
      <c r="G11" s="57">
        <v>10501000</v>
      </c>
      <c r="H11" s="57">
        <v>1382000</v>
      </c>
      <c r="I11" s="57">
        <v>1511000</v>
      </c>
      <c r="J11" s="57">
        <v>2055000</v>
      </c>
      <c r="K11" s="60">
        <v>980.77858880778592</v>
      </c>
      <c r="L11" s="60"/>
      <c r="M11" s="60">
        <v>980.77858880778592</v>
      </c>
      <c r="N11" s="40">
        <v>8</v>
      </c>
      <c r="O11" s="239">
        <f t="shared" ref="O11:O13" si="0">$C11/$J11</f>
        <v>10.807785888077859</v>
      </c>
    </row>
    <row r="12" spans="1:15" s="40" customFormat="1" x14ac:dyDescent="0.2">
      <c r="A12" s="40" t="s">
        <v>305</v>
      </c>
      <c r="B12" s="314" t="s">
        <v>307</v>
      </c>
      <c r="C12" s="57">
        <v>42927000</v>
      </c>
      <c r="D12" s="57">
        <v>23904000</v>
      </c>
      <c r="E12" s="57">
        <v>26994000</v>
      </c>
      <c r="F12" s="57">
        <v>27398000</v>
      </c>
      <c r="G12" s="57">
        <v>27497000</v>
      </c>
      <c r="H12" s="57">
        <v>28991000</v>
      </c>
      <c r="I12" s="57">
        <v>6029000</v>
      </c>
      <c r="J12" s="57">
        <v>5037000</v>
      </c>
      <c r="K12" s="60">
        <v>752.23347230494346</v>
      </c>
      <c r="L12" s="60"/>
      <c r="M12" s="60">
        <v>752.23347230494346</v>
      </c>
      <c r="N12" s="40">
        <v>10</v>
      </c>
      <c r="O12" s="239">
        <f t="shared" si="0"/>
        <v>8.5223347230494344</v>
      </c>
    </row>
    <row r="13" spans="1:15" s="40" customFormat="1" x14ac:dyDescent="0.2">
      <c r="A13" s="40" t="s">
        <v>350</v>
      </c>
      <c r="B13" s="129" t="s">
        <v>358</v>
      </c>
      <c r="C13" s="57">
        <v>79432000</v>
      </c>
      <c r="D13" s="57">
        <v>73068000</v>
      </c>
      <c r="E13" s="57">
        <v>72113000</v>
      </c>
      <c r="F13" s="57">
        <v>64778000</v>
      </c>
      <c r="G13" s="57">
        <v>60526000</v>
      </c>
      <c r="H13" s="57">
        <v>30402000</v>
      </c>
      <c r="I13" s="57">
        <v>17657000</v>
      </c>
      <c r="J13" s="57">
        <v>10558000</v>
      </c>
      <c r="K13" s="60">
        <v>652.33945823072554</v>
      </c>
      <c r="L13" s="60"/>
      <c r="M13" s="60">
        <v>652.33945823072554</v>
      </c>
      <c r="N13" s="40">
        <v>13</v>
      </c>
      <c r="O13" s="239">
        <f t="shared" si="0"/>
        <v>7.5233945823072554</v>
      </c>
    </row>
    <row r="14" spans="1:15" x14ac:dyDescent="0.2">
      <c r="O14" s="40"/>
    </row>
    <row r="16" spans="1:15" x14ac:dyDescent="0.2">
      <c r="A16" s="754" t="s">
        <v>3584</v>
      </c>
      <c r="B16" s="754"/>
      <c r="C16" s="754"/>
      <c r="D16" s="754"/>
      <c r="E16" s="754"/>
      <c r="F16" s="754"/>
      <c r="G16" s="754"/>
      <c r="H16" s="754"/>
      <c r="I16" s="754"/>
      <c r="J16" s="754"/>
      <c r="K16" s="754"/>
      <c r="L16" s="754"/>
      <c r="M16" s="754"/>
      <c r="N16" s="754"/>
      <c r="O16" s="754"/>
    </row>
    <row r="18" spans="1:15" s="40" customFormat="1" x14ac:dyDescent="0.2">
      <c r="A18" s="40" t="s">
        <v>305</v>
      </c>
      <c r="B18" s="314" t="s">
        <v>328</v>
      </c>
      <c r="C18" s="57">
        <v>4673000</v>
      </c>
      <c r="D18" s="57">
        <v>1791000</v>
      </c>
      <c r="E18" s="57">
        <v>1989000</v>
      </c>
      <c r="F18" s="57">
        <v>677000</v>
      </c>
      <c r="G18" s="57">
        <v>30000</v>
      </c>
      <c r="H18" s="57"/>
      <c r="I18" s="57"/>
      <c r="J18" s="57"/>
      <c r="K18" s="106" t="s">
        <v>546</v>
      </c>
      <c r="L18" s="60">
        <v>15476.666666666668</v>
      </c>
      <c r="M18" s="60">
        <v>15476.666666666668</v>
      </c>
      <c r="N18" s="40">
        <v>1</v>
      </c>
      <c r="O18" s="239">
        <f>$C18/$G18</f>
        <v>155.76666666666668</v>
      </c>
    </row>
    <row r="19" spans="1:15" s="40" customFormat="1" ht="12.4" customHeight="1" x14ac:dyDescent="0.2">
      <c r="A19" s="40" t="s">
        <v>287</v>
      </c>
      <c r="B19" s="314" t="s">
        <v>469</v>
      </c>
      <c r="C19" s="57">
        <v>4685000</v>
      </c>
      <c r="D19" s="57">
        <v>4254000</v>
      </c>
      <c r="E19" s="57">
        <v>3017000</v>
      </c>
      <c r="F19" s="57">
        <v>77000</v>
      </c>
      <c r="G19" s="57"/>
      <c r="H19" s="57"/>
      <c r="I19" s="57"/>
      <c r="J19" s="57"/>
      <c r="K19" s="106" t="s">
        <v>546</v>
      </c>
      <c r="L19" s="60">
        <v>5984.4155844155839</v>
      </c>
      <c r="M19" s="60">
        <v>5984.4155844155839</v>
      </c>
      <c r="N19" s="40">
        <v>2</v>
      </c>
      <c r="O19" s="239">
        <f>$C19/$F19</f>
        <v>60.844155844155843</v>
      </c>
    </row>
    <row r="20" spans="1:15" s="40" customFormat="1" ht="38.25" x14ac:dyDescent="0.2">
      <c r="A20" s="40" t="s">
        <v>360</v>
      </c>
      <c r="B20" s="314" t="s">
        <v>364</v>
      </c>
      <c r="C20" s="57">
        <v>3202000</v>
      </c>
      <c r="D20" s="57">
        <v>3109000</v>
      </c>
      <c r="E20" s="57">
        <v>3998000</v>
      </c>
      <c r="F20" s="57">
        <v>79000</v>
      </c>
      <c r="G20" s="57">
        <v>293000</v>
      </c>
      <c r="H20" s="57">
        <v>4267000</v>
      </c>
      <c r="I20" s="57">
        <v>5151.9799999999996</v>
      </c>
      <c r="J20" s="57">
        <v>133757</v>
      </c>
      <c r="K20" s="60">
        <v>2293.8934037097124</v>
      </c>
      <c r="L20" s="60"/>
      <c r="M20" s="60">
        <v>2293.8934037097124</v>
      </c>
      <c r="N20" s="40">
        <v>5</v>
      </c>
      <c r="O20" s="239">
        <f>$C20/$J20</f>
        <v>23.938934037097123</v>
      </c>
    </row>
    <row r="21" spans="1:15" s="40" customFormat="1" ht="25.5" x14ac:dyDescent="0.2">
      <c r="A21" s="40" t="s">
        <v>287</v>
      </c>
      <c r="B21" s="314" t="s">
        <v>467</v>
      </c>
      <c r="C21" s="57">
        <v>2606000</v>
      </c>
      <c r="D21" s="57">
        <v>1519000</v>
      </c>
      <c r="E21" s="57">
        <v>905000</v>
      </c>
      <c r="F21" s="57">
        <v>1794000</v>
      </c>
      <c r="G21" s="57">
        <v>548000</v>
      </c>
      <c r="H21" s="57">
        <v>438000</v>
      </c>
      <c r="I21" s="57">
        <v>296288</v>
      </c>
      <c r="J21" s="57">
        <v>166805</v>
      </c>
      <c r="K21" s="60">
        <v>1462.3032882707353</v>
      </c>
      <c r="L21" s="60"/>
      <c r="M21" s="60">
        <v>1462.3032882707353</v>
      </c>
      <c r="N21" s="40">
        <v>6</v>
      </c>
      <c r="O21" s="239">
        <f>$C21/$J21</f>
        <v>15.623032882707353</v>
      </c>
    </row>
    <row r="22" spans="1:15" s="40" customFormat="1" ht="25.5" x14ac:dyDescent="0.2">
      <c r="A22" s="40" t="s">
        <v>283</v>
      </c>
      <c r="B22" s="314" t="s">
        <v>399</v>
      </c>
      <c r="C22" s="57">
        <v>763000</v>
      </c>
      <c r="D22" s="57">
        <v>68000</v>
      </c>
      <c r="E22" s="57">
        <v>145200</v>
      </c>
      <c r="F22" s="57">
        <v>142000</v>
      </c>
      <c r="G22" s="57">
        <v>10800</v>
      </c>
      <c r="H22" s="57">
        <v>3000</v>
      </c>
      <c r="I22" s="57">
        <v>57000</v>
      </c>
      <c r="J22" s="57"/>
      <c r="K22" s="60" t="s">
        <v>546</v>
      </c>
      <c r="L22" s="60">
        <v>1238.5964912280701</v>
      </c>
      <c r="M22" s="60">
        <v>1238.5964912280701</v>
      </c>
      <c r="N22" s="40">
        <v>7</v>
      </c>
      <c r="O22" s="239">
        <f>$C22/$I22</f>
        <v>13.385964912280702</v>
      </c>
    </row>
    <row r="23" spans="1:15" s="40" customFormat="1" x14ac:dyDescent="0.2">
      <c r="A23" s="40" t="s">
        <v>287</v>
      </c>
      <c r="B23" s="314" t="s">
        <v>462</v>
      </c>
      <c r="C23" s="57">
        <v>3197000</v>
      </c>
      <c r="D23" s="57">
        <v>2899000</v>
      </c>
      <c r="E23" s="57">
        <v>1566000</v>
      </c>
      <c r="F23" s="57">
        <v>2445000</v>
      </c>
      <c r="G23" s="57">
        <v>2021000</v>
      </c>
      <c r="H23" s="57">
        <v>609000</v>
      </c>
      <c r="I23" s="57">
        <v>457040</v>
      </c>
      <c r="J23" s="57">
        <v>317915</v>
      </c>
      <c r="K23" s="60">
        <v>905.61470833398869</v>
      </c>
      <c r="L23" s="60"/>
      <c r="M23" s="60">
        <v>905.61470833398869</v>
      </c>
      <c r="N23" s="40">
        <v>9</v>
      </c>
      <c r="O23" s="239">
        <f>$C23/$J23</f>
        <v>10.056147083339887</v>
      </c>
    </row>
    <row r="24" spans="1:15" s="40" customFormat="1" x14ac:dyDescent="0.2">
      <c r="A24" s="40" t="s">
        <v>283</v>
      </c>
      <c r="B24" s="129" t="s">
        <v>400</v>
      </c>
      <c r="C24" s="57">
        <v>6059057000</v>
      </c>
      <c r="D24" s="57">
        <v>6714213000</v>
      </c>
      <c r="E24" s="57">
        <v>4637559000</v>
      </c>
      <c r="F24" s="57">
        <v>5210700000</v>
      </c>
      <c r="G24" s="57">
        <v>3957482000</v>
      </c>
      <c r="H24" s="57">
        <v>1512000000</v>
      </c>
      <c r="I24" s="57">
        <v>1493000000</v>
      </c>
      <c r="J24" s="57">
        <v>773781000</v>
      </c>
      <c r="K24" s="60">
        <v>683.0454611834615</v>
      </c>
      <c r="L24" s="60"/>
      <c r="M24" s="60">
        <v>683.0454611834615</v>
      </c>
      <c r="N24" s="40">
        <v>12</v>
      </c>
      <c r="O24" s="239">
        <f>$C24/$J24</f>
        <v>7.8304546118346146</v>
      </c>
    </row>
    <row r="25" spans="1:15" s="40" customFormat="1" x14ac:dyDescent="0.2">
      <c r="A25" s="40" t="s">
        <v>283</v>
      </c>
      <c r="B25" s="129" t="s">
        <v>418</v>
      </c>
      <c r="C25" s="57">
        <v>2117585000</v>
      </c>
      <c r="D25" s="57">
        <v>2150235000</v>
      </c>
      <c r="E25" s="57">
        <v>2023230000</v>
      </c>
      <c r="F25" s="57">
        <v>1967822000</v>
      </c>
      <c r="G25" s="57">
        <v>1837010000</v>
      </c>
      <c r="H25" s="57">
        <v>1744549000</v>
      </c>
      <c r="I25" s="57">
        <v>1623110000</v>
      </c>
      <c r="J25" s="57">
        <v>1532912000</v>
      </c>
      <c r="K25" s="60">
        <v>38.141328399803768</v>
      </c>
      <c r="L25" s="60"/>
      <c r="M25" s="60">
        <v>38.141328399803768</v>
      </c>
      <c r="N25" s="40">
        <v>66</v>
      </c>
      <c r="O25" s="239">
        <f>$C25/$J25</f>
        <v>1.3814132839980378</v>
      </c>
    </row>
  </sheetData>
  <mergeCells count="2">
    <mergeCell ref="A8:O8"/>
    <mergeCell ref="A16:O16"/>
  </mergeCells>
  <hyperlinks>
    <hyperlink ref="A5" r:id="rId1"/>
    <hyperlink ref="H1" location="Index!A1" display="Return to Index"/>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130" zoomScaleNormal="130" workbookViewId="0">
      <selection activeCell="H1" sqref="H1"/>
    </sheetView>
  </sheetViews>
  <sheetFormatPr defaultRowHeight="12.75" x14ac:dyDescent="0.2"/>
  <cols>
    <col min="5" max="5" width="11.28515625" bestFit="1" customWidth="1"/>
    <col min="6" max="6" width="11.42578125" bestFit="1" customWidth="1"/>
    <col min="7" max="7" width="12.42578125" bestFit="1" customWidth="1"/>
    <col min="9" max="13" width="11.5703125" bestFit="1" customWidth="1"/>
    <col min="14" max="14" width="11.42578125" bestFit="1" customWidth="1"/>
    <col min="15" max="15" width="13.28515625" bestFit="1" customWidth="1"/>
  </cols>
  <sheetData>
    <row r="1" spans="1:16" x14ac:dyDescent="0.2">
      <c r="A1" s="32" t="s">
        <v>162</v>
      </c>
      <c r="B1">
        <v>1</v>
      </c>
      <c r="H1" s="48" t="s">
        <v>3630</v>
      </c>
    </row>
    <row r="2" spans="1:16" x14ac:dyDescent="0.2">
      <c r="A2" s="32" t="s">
        <v>163</v>
      </c>
      <c r="B2">
        <v>5</v>
      </c>
    </row>
    <row r="3" spans="1:16" x14ac:dyDescent="0.2">
      <c r="B3" s="687"/>
      <c r="C3" s="687"/>
      <c r="D3" s="687"/>
      <c r="E3" s="687"/>
      <c r="F3" s="687"/>
      <c r="G3" s="687"/>
      <c r="H3" s="687"/>
      <c r="I3" s="687"/>
      <c r="J3" s="687"/>
    </row>
    <row r="4" spans="1:16" x14ac:dyDescent="0.2">
      <c r="B4" s="688" t="s">
        <v>3590</v>
      </c>
      <c r="C4" s="687"/>
      <c r="D4" s="687"/>
      <c r="E4" s="687"/>
      <c r="F4" s="687"/>
      <c r="G4" s="687"/>
      <c r="H4" s="687"/>
      <c r="I4" s="687"/>
      <c r="J4" s="687"/>
    </row>
    <row r="5" spans="1:16" x14ac:dyDescent="0.2">
      <c r="B5" s="687"/>
      <c r="C5" s="688" t="s">
        <v>135</v>
      </c>
      <c r="D5" s="688" t="s">
        <v>3589</v>
      </c>
      <c r="E5" s="687"/>
      <c r="F5" s="687"/>
      <c r="G5" s="687"/>
      <c r="H5" s="687"/>
      <c r="I5" s="689" t="s">
        <v>161</v>
      </c>
      <c r="J5" s="687"/>
    </row>
    <row r="6" spans="1:16" x14ac:dyDescent="0.2">
      <c r="B6" s="687"/>
      <c r="C6" s="687"/>
      <c r="D6" s="687"/>
      <c r="E6" s="687"/>
      <c r="F6" s="687"/>
      <c r="G6" s="687"/>
      <c r="H6" s="687"/>
      <c r="I6" s="688" t="s">
        <v>3588</v>
      </c>
      <c r="J6" s="687"/>
    </row>
    <row r="7" spans="1:16" x14ac:dyDescent="0.2">
      <c r="B7" s="687"/>
      <c r="C7" s="687"/>
      <c r="D7" s="687"/>
      <c r="E7" s="688" t="s">
        <v>114</v>
      </c>
      <c r="F7" s="688" t="s">
        <v>3460</v>
      </c>
      <c r="G7" s="688" t="s">
        <v>3587</v>
      </c>
      <c r="H7" s="687"/>
      <c r="I7" s="688" t="s">
        <v>745</v>
      </c>
      <c r="J7" s="688" t="s">
        <v>748</v>
      </c>
      <c r="K7" s="32" t="s">
        <v>759</v>
      </c>
      <c r="L7" s="32" t="s">
        <v>3138</v>
      </c>
      <c r="M7" s="32" t="s">
        <v>768</v>
      </c>
      <c r="N7" s="32" t="s">
        <v>3139</v>
      </c>
      <c r="O7" s="32" t="s">
        <v>786</v>
      </c>
      <c r="P7" s="32" t="s">
        <v>3595</v>
      </c>
    </row>
    <row r="8" spans="1:16" x14ac:dyDescent="0.2">
      <c r="B8" s="687"/>
      <c r="C8" s="687"/>
      <c r="D8" s="687">
        <v>1997</v>
      </c>
      <c r="E8" s="692">
        <v>0.1011</v>
      </c>
      <c r="F8" s="692">
        <f>AVERAGE(I8:O8)</f>
        <v>0.10095714285714286</v>
      </c>
      <c r="G8" s="692">
        <v>0.1041</v>
      </c>
      <c r="H8" s="692"/>
      <c r="I8" s="692">
        <v>9.9199999999999997E-2</v>
      </c>
      <c r="J8" s="692">
        <v>9.1700000000000004E-2</v>
      </c>
      <c r="K8" s="297">
        <v>0.1047</v>
      </c>
      <c r="L8" s="297">
        <v>0.1033</v>
      </c>
      <c r="M8" s="297">
        <v>9.5299999999999996E-2</v>
      </c>
      <c r="N8" s="297">
        <v>0.1198</v>
      </c>
      <c r="O8" s="297">
        <v>9.2700000000000005E-2</v>
      </c>
      <c r="P8" s="148">
        <v>4</v>
      </c>
    </row>
    <row r="9" spans="1:16" x14ac:dyDescent="0.2">
      <c r="B9" s="687"/>
      <c r="C9" s="687"/>
      <c r="D9" s="687">
        <v>2019</v>
      </c>
      <c r="E9" s="692">
        <v>8.8999999999999996E-2</v>
      </c>
      <c r="F9" s="692">
        <f>AVERAGE(I9:O9)</f>
        <v>9.6171428571428574E-2</v>
      </c>
      <c r="G9" s="692">
        <v>0.1003</v>
      </c>
      <c r="H9" s="692"/>
      <c r="I9" s="692">
        <v>9.5899999999999999E-2</v>
      </c>
      <c r="J9" s="692">
        <v>9.1800000000000007E-2</v>
      </c>
      <c r="K9" s="297">
        <v>0.10050000000000001</v>
      </c>
      <c r="L9" s="297">
        <v>9.4899999999999998E-2</v>
      </c>
      <c r="M9" s="297">
        <v>8.3799999999999999E-2</v>
      </c>
      <c r="N9" s="297">
        <v>0.1171</v>
      </c>
      <c r="O9" s="297">
        <v>8.9200000000000002E-2</v>
      </c>
      <c r="P9" s="148">
        <v>6</v>
      </c>
    </row>
    <row r="10" spans="1:16" x14ac:dyDescent="0.2">
      <c r="B10" s="687"/>
      <c r="C10" s="687"/>
      <c r="D10" s="687"/>
      <c r="E10" s="692">
        <f>+E9/E8-1</f>
        <v>-0.11968348170128584</v>
      </c>
      <c r="F10" s="692">
        <f>+F9/F8-1</f>
        <v>-4.7403424366775138E-2</v>
      </c>
      <c r="G10" s="692">
        <f>+G9/G8-1</f>
        <v>-3.6503362151777075E-2</v>
      </c>
      <c r="H10" s="692"/>
      <c r="I10" s="692"/>
      <c r="J10" s="692"/>
      <c r="K10" s="297"/>
      <c r="L10" s="297"/>
      <c r="M10" s="297"/>
      <c r="N10" s="297"/>
      <c r="O10" s="297"/>
      <c r="P10" s="148"/>
    </row>
    <row r="11" spans="1:16" x14ac:dyDescent="0.2">
      <c r="B11" s="687"/>
      <c r="C11" s="687"/>
      <c r="D11" s="687"/>
      <c r="E11" s="687"/>
      <c r="F11" s="687"/>
      <c r="G11" s="687"/>
      <c r="H11" s="687"/>
      <c r="I11" s="687"/>
      <c r="J11" s="687"/>
      <c r="P11" s="148"/>
    </row>
    <row r="12" spans="1:16" x14ac:dyDescent="0.2">
      <c r="B12" s="687"/>
      <c r="C12" s="688" t="s">
        <v>3591</v>
      </c>
      <c r="D12" s="687"/>
      <c r="E12" s="687"/>
      <c r="F12" s="687"/>
      <c r="G12" s="687"/>
      <c r="H12" s="687"/>
      <c r="I12" s="687"/>
      <c r="J12" s="687"/>
      <c r="P12" s="148"/>
    </row>
    <row r="13" spans="1:16" x14ac:dyDescent="0.2">
      <c r="B13" s="687"/>
      <c r="C13" s="687"/>
      <c r="D13" s="687"/>
      <c r="E13" s="687"/>
      <c r="F13" s="687"/>
      <c r="G13" s="687"/>
      <c r="H13" s="687"/>
      <c r="I13" s="687"/>
      <c r="J13" s="687"/>
      <c r="P13" s="148"/>
    </row>
    <row r="14" spans="1:16" x14ac:dyDescent="0.2">
      <c r="B14" s="688" t="s">
        <v>3592</v>
      </c>
      <c r="C14" s="687"/>
      <c r="D14" s="687"/>
      <c r="E14" s="687"/>
      <c r="F14" s="687"/>
      <c r="G14" s="687"/>
      <c r="H14" s="687"/>
      <c r="I14" s="687"/>
      <c r="J14" s="687"/>
      <c r="P14" s="148"/>
    </row>
    <row r="15" spans="1:16" x14ac:dyDescent="0.2">
      <c r="B15" s="687"/>
      <c r="C15" s="688" t="s">
        <v>135</v>
      </c>
      <c r="D15" s="688" t="s">
        <v>3589</v>
      </c>
      <c r="E15" s="687"/>
      <c r="F15" s="687"/>
      <c r="G15" s="687"/>
      <c r="H15" s="687"/>
      <c r="I15" s="689" t="s">
        <v>161</v>
      </c>
      <c r="J15" s="687"/>
      <c r="P15" s="148"/>
    </row>
    <row r="16" spans="1:16" x14ac:dyDescent="0.2">
      <c r="B16" s="687"/>
      <c r="C16" s="687"/>
      <c r="D16" s="687"/>
      <c r="E16" s="687"/>
      <c r="F16" s="687"/>
      <c r="G16" s="687"/>
      <c r="H16" s="687"/>
      <c r="I16" s="688" t="s">
        <v>3588</v>
      </c>
      <c r="J16" s="687"/>
      <c r="K16" s="316"/>
      <c r="L16" s="316"/>
      <c r="M16" s="316"/>
      <c r="N16" s="316"/>
      <c r="O16" s="316"/>
      <c r="P16" s="148"/>
    </row>
    <row r="17" spans="2:16" x14ac:dyDescent="0.2">
      <c r="B17" s="687"/>
      <c r="C17" s="687"/>
      <c r="D17" s="687"/>
      <c r="E17" s="688" t="s">
        <v>114</v>
      </c>
      <c r="F17" s="688" t="s">
        <v>3460</v>
      </c>
      <c r="G17" s="688" t="s">
        <v>3587</v>
      </c>
      <c r="H17" s="687"/>
      <c r="I17" s="688" t="s">
        <v>745</v>
      </c>
      <c r="J17" s="688" t="s">
        <v>748</v>
      </c>
      <c r="K17" s="32" t="s">
        <v>759</v>
      </c>
      <c r="L17" s="32" t="s">
        <v>3138</v>
      </c>
      <c r="M17" s="32" t="s">
        <v>768</v>
      </c>
      <c r="N17" s="32" t="s">
        <v>3139</v>
      </c>
      <c r="O17" s="32" t="s">
        <v>786</v>
      </c>
      <c r="P17" s="32" t="s">
        <v>3595</v>
      </c>
    </row>
    <row r="18" spans="2:16" x14ac:dyDescent="0.2">
      <c r="B18" s="687"/>
      <c r="C18" s="687"/>
      <c r="D18" s="687">
        <v>1997</v>
      </c>
      <c r="E18" s="692">
        <v>0.17299999999999999</v>
      </c>
      <c r="F18" s="692">
        <f t="shared" ref="F18:F19" si="0">AVERAGE(I18:O18)</f>
        <v>0.18114285714285713</v>
      </c>
      <c r="G18" s="692">
        <v>0.17799999999999999</v>
      </c>
      <c r="H18" s="692"/>
      <c r="I18" s="692">
        <v>0.182</v>
      </c>
      <c r="J18" s="692">
        <v>0.159</v>
      </c>
      <c r="K18" s="297">
        <v>0.17100000000000001</v>
      </c>
      <c r="L18" s="297">
        <v>0.20200000000000001</v>
      </c>
      <c r="M18" s="297">
        <v>0.155</v>
      </c>
      <c r="N18" s="297">
        <v>0.23599999999999999</v>
      </c>
      <c r="O18" s="297">
        <v>0.16300000000000001</v>
      </c>
      <c r="P18" s="148">
        <v>4</v>
      </c>
    </row>
    <row r="19" spans="2:16" x14ac:dyDescent="0.2">
      <c r="B19" s="687"/>
      <c r="C19" s="687"/>
      <c r="D19" s="687">
        <v>2019</v>
      </c>
      <c r="E19" s="692">
        <v>0.16700000000000001</v>
      </c>
      <c r="F19" s="692">
        <f t="shared" si="0"/>
        <v>0.18728571428571428</v>
      </c>
      <c r="G19" s="692">
        <v>0.18</v>
      </c>
      <c r="H19" s="692"/>
      <c r="I19" s="692">
        <v>0.19</v>
      </c>
      <c r="J19" s="692">
        <v>0.158</v>
      </c>
      <c r="K19" s="297">
        <v>0.18099999999999999</v>
      </c>
      <c r="L19" s="297">
        <v>0.20100000000000001</v>
      </c>
      <c r="M19" s="297">
        <v>0.16800000000000001</v>
      </c>
      <c r="N19" s="297">
        <v>0.249</v>
      </c>
      <c r="O19" s="297">
        <v>0.16400000000000001</v>
      </c>
      <c r="P19" s="148">
        <v>5</v>
      </c>
    </row>
    <row r="20" spans="2:16" x14ac:dyDescent="0.2">
      <c r="B20" s="687"/>
      <c r="C20" s="687"/>
      <c r="D20" s="687"/>
      <c r="E20" s="692">
        <f>+E19/E18-1</f>
        <v>-3.4682080924855363E-2</v>
      </c>
      <c r="F20" s="692">
        <f>+F19/F18-1</f>
        <v>3.3911671924290232E-2</v>
      </c>
      <c r="G20" s="692">
        <f>+G19/G18-1</f>
        <v>1.1235955056179803E-2</v>
      </c>
      <c r="H20" s="692"/>
      <c r="I20" s="692"/>
      <c r="J20" s="692"/>
      <c r="K20" s="297"/>
      <c r="L20" s="297"/>
      <c r="M20" s="297"/>
      <c r="N20" s="297"/>
      <c r="O20" s="297"/>
      <c r="P20" s="148"/>
    </row>
    <row r="21" spans="2:16" x14ac:dyDescent="0.2">
      <c r="B21" s="687"/>
      <c r="C21" s="687"/>
      <c r="D21" s="687"/>
      <c r="E21" s="687"/>
      <c r="F21" s="687"/>
      <c r="G21" s="687"/>
      <c r="H21" s="687"/>
      <c r="I21" s="687"/>
      <c r="J21" s="687"/>
      <c r="K21" s="316"/>
      <c r="L21" s="316"/>
      <c r="M21" s="316"/>
      <c r="N21" s="316"/>
      <c r="O21" s="316"/>
      <c r="P21" s="148"/>
    </row>
    <row r="22" spans="2:16" x14ac:dyDescent="0.2">
      <c r="B22" s="687"/>
      <c r="C22" s="688" t="s">
        <v>3591</v>
      </c>
      <c r="D22" s="687"/>
      <c r="E22" s="687"/>
      <c r="F22" s="687"/>
      <c r="G22" s="687"/>
      <c r="H22" s="687"/>
      <c r="I22" s="687"/>
      <c r="J22" s="687"/>
      <c r="K22" s="316"/>
      <c r="L22" s="316"/>
      <c r="M22" s="316"/>
      <c r="N22" s="316"/>
      <c r="O22" s="316"/>
      <c r="P22" s="148"/>
    </row>
    <row r="23" spans="2:16" x14ac:dyDescent="0.2">
      <c r="B23" s="687"/>
      <c r="C23" s="687"/>
      <c r="D23" s="687"/>
      <c r="E23" s="687"/>
      <c r="F23" s="687"/>
      <c r="G23" s="687"/>
      <c r="H23" s="687"/>
      <c r="I23" s="687"/>
      <c r="J23" s="687"/>
      <c r="P23" s="148"/>
    </row>
    <row r="24" spans="2:16" x14ac:dyDescent="0.2">
      <c r="B24" s="688" t="s">
        <v>3598</v>
      </c>
      <c r="C24" s="687"/>
      <c r="D24" s="687"/>
      <c r="E24" s="687"/>
      <c r="F24" s="687"/>
      <c r="G24" s="687"/>
      <c r="H24" s="687"/>
      <c r="I24" s="687"/>
      <c r="J24" s="687"/>
      <c r="P24" s="148"/>
    </row>
    <row r="25" spans="2:16" x14ac:dyDescent="0.2">
      <c r="B25" s="687"/>
      <c r="C25" s="688" t="s">
        <v>135</v>
      </c>
      <c r="D25" s="688" t="s">
        <v>3596</v>
      </c>
      <c r="E25" s="687"/>
      <c r="F25" s="687"/>
      <c r="G25" s="687"/>
      <c r="H25" s="687"/>
      <c r="I25" s="687"/>
      <c r="J25" s="687"/>
      <c r="P25" s="148"/>
    </row>
    <row r="26" spans="2:16" s="316" customFormat="1" x14ac:dyDescent="0.2">
      <c r="B26" s="687"/>
      <c r="C26" s="688" t="s">
        <v>3594</v>
      </c>
      <c r="D26" s="687"/>
      <c r="E26" s="687"/>
      <c r="F26" s="687"/>
      <c r="G26" s="687"/>
      <c r="H26" s="687"/>
      <c r="I26" s="687"/>
      <c r="J26" s="687"/>
      <c r="P26" s="148"/>
    </row>
    <row r="27" spans="2:16" x14ac:dyDescent="0.2">
      <c r="B27" s="687"/>
      <c r="C27" s="687"/>
      <c r="D27" s="687"/>
      <c r="E27" s="687"/>
      <c r="F27" s="687"/>
      <c r="G27" s="687"/>
      <c r="H27" s="687"/>
      <c r="I27" s="688" t="s">
        <v>3588</v>
      </c>
      <c r="J27" s="687"/>
      <c r="K27" s="316"/>
      <c r="L27" s="316"/>
      <c r="M27" s="316"/>
      <c r="N27" s="316"/>
      <c r="O27" s="316"/>
      <c r="P27" s="148"/>
    </row>
    <row r="28" spans="2:16" x14ac:dyDescent="0.2">
      <c r="B28" s="687"/>
      <c r="C28" s="687"/>
      <c r="D28" s="687"/>
      <c r="E28" s="689" t="s">
        <v>114</v>
      </c>
      <c r="F28" s="688" t="s">
        <v>3460</v>
      </c>
      <c r="G28" s="689" t="s">
        <v>3587</v>
      </c>
      <c r="H28" s="687"/>
      <c r="I28" s="689" t="s">
        <v>745</v>
      </c>
      <c r="J28" s="689" t="s">
        <v>748</v>
      </c>
      <c r="K28" s="48" t="s">
        <v>759</v>
      </c>
      <c r="L28" s="48" t="s">
        <v>3138</v>
      </c>
      <c r="M28" s="48" t="s">
        <v>768</v>
      </c>
      <c r="N28" s="48" t="s">
        <v>3139</v>
      </c>
      <c r="O28" s="48" t="s">
        <v>786</v>
      </c>
      <c r="P28" s="32" t="s">
        <v>3595</v>
      </c>
    </row>
    <row r="29" spans="2:16" x14ac:dyDescent="0.2">
      <c r="B29" s="687"/>
      <c r="C29" s="687"/>
      <c r="D29" s="687">
        <v>1997</v>
      </c>
      <c r="E29" s="102">
        <v>115319</v>
      </c>
      <c r="F29" s="102">
        <f>SUM(I29:O29)</f>
        <v>1741644</v>
      </c>
      <c r="G29" s="102">
        <v>11529157</v>
      </c>
      <c r="H29" s="102"/>
      <c r="I29" s="715">
        <v>82760</v>
      </c>
      <c r="J29" s="715">
        <v>184492</v>
      </c>
      <c r="K29" s="210">
        <v>104779</v>
      </c>
      <c r="L29" s="210">
        <v>201663</v>
      </c>
      <c r="M29" s="210">
        <v>227965</v>
      </c>
      <c r="N29" s="210">
        <v>67428</v>
      </c>
      <c r="O29" s="210">
        <v>872557</v>
      </c>
      <c r="P29" s="148">
        <v>5</v>
      </c>
    </row>
    <row r="30" spans="2:16" x14ac:dyDescent="0.2">
      <c r="B30" s="687"/>
      <c r="C30" s="687"/>
      <c r="D30" s="687">
        <v>2019</v>
      </c>
      <c r="E30" s="102">
        <v>197900.4</v>
      </c>
      <c r="F30" s="102">
        <f>SUM(I30:O30)</f>
        <v>2952947.5</v>
      </c>
      <c r="G30" s="102">
        <v>19032672</v>
      </c>
      <c r="H30" s="102"/>
      <c r="I30" s="715">
        <v>117447.1</v>
      </c>
      <c r="J30" s="715">
        <v>356280.2</v>
      </c>
      <c r="K30" s="210">
        <v>160059.29999999999</v>
      </c>
      <c r="L30" s="210">
        <v>239967.2</v>
      </c>
      <c r="M30" s="210">
        <v>277354</v>
      </c>
      <c r="N30" s="210">
        <v>98765.7</v>
      </c>
      <c r="O30" s="210">
        <v>1703074</v>
      </c>
      <c r="P30" s="148">
        <v>5</v>
      </c>
    </row>
    <row r="31" spans="2:16" x14ac:dyDescent="0.2">
      <c r="B31" s="687"/>
      <c r="C31" s="687"/>
      <c r="D31" s="687"/>
      <c r="E31" s="692">
        <f>+E30/E29-1</f>
        <v>0.71611269608650785</v>
      </c>
      <c r="F31" s="692">
        <f>+F30/F29-1</f>
        <v>0.69549431456715616</v>
      </c>
      <c r="G31" s="692">
        <f>+G30/G29-1</f>
        <v>0.65082945786929614</v>
      </c>
      <c r="H31" s="692"/>
      <c r="I31" s="692"/>
      <c r="J31" s="692"/>
      <c r="K31" s="297"/>
      <c r="L31" s="297"/>
      <c r="M31" s="297"/>
      <c r="N31" s="297"/>
      <c r="O31" s="297"/>
    </row>
    <row r="32" spans="2:16" x14ac:dyDescent="0.2">
      <c r="B32" s="687"/>
      <c r="C32" s="687"/>
      <c r="D32" s="687"/>
      <c r="E32" s="687"/>
      <c r="F32" s="687"/>
      <c r="G32" s="687"/>
      <c r="H32" s="687"/>
      <c r="I32" s="687"/>
      <c r="J32" s="687"/>
      <c r="K32" s="316"/>
      <c r="L32" s="316"/>
      <c r="M32" s="316"/>
      <c r="N32" s="316"/>
      <c r="O32" s="316"/>
    </row>
    <row r="33" spans="2:17" x14ac:dyDescent="0.2">
      <c r="B33" s="687"/>
      <c r="C33" s="688" t="s">
        <v>3593</v>
      </c>
      <c r="D33" s="687"/>
      <c r="E33" s="687"/>
      <c r="F33" s="687"/>
      <c r="G33" s="687"/>
      <c r="H33" s="687"/>
      <c r="I33" s="687"/>
      <c r="J33" s="687"/>
      <c r="K33" s="316"/>
      <c r="L33" s="316"/>
      <c r="M33" s="316"/>
      <c r="N33" s="316"/>
      <c r="O33" s="316"/>
    </row>
    <row r="34" spans="2:17" x14ac:dyDescent="0.2">
      <c r="B34" s="687"/>
      <c r="C34" s="687"/>
      <c r="D34" s="687"/>
      <c r="E34" s="687"/>
      <c r="F34" s="687"/>
      <c r="G34" s="687"/>
      <c r="H34" s="687"/>
      <c r="I34" s="687"/>
      <c r="J34" s="687"/>
    </row>
    <row r="35" spans="2:17" x14ac:dyDescent="0.2">
      <c r="B35" s="688" t="s">
        <v>3599</v>
      </c>
      <c r="C35" s="687"/>
      <c r="D35" s="687"/>
      <c r="E35" s="687"/>
      <c r="F35" s="687"/>
      <c r="G35" s="687"/>
      <c r="H35" s="687"/>
      <c r="I35" s="687"/>
      <c r="J35" s="687"/>
    </row>
    <row r="36" spans="2:17" s="316" customFormat="1" x14ac:dyDescent="0.2">
      <c r="B36" s="688"/>
      <c r="C36" s="688" t="s">
        <v>3597</v>
      </c>
      <c r="D36" s="688" t="s">
        <v>3600</v>
      </c>
      <c r="E36" s="687"/>
      <c r="F36" s="687"/>
      <c r="G36" s="687"/>
      <c r="H36" s="687"/>
      <c r="I36" s="687"/>
      <c r="J36" s="687"/>
    </row>
    <row r="37" spans="2:17" x14ac:dyDescent="0.2">
      <c r="B37" s="687"/>
      <c r="C37" s="688" t="s">
        <v>135</v>
      </c>
      <c r="D37" s="688" t="s">
        <v>3596</v>
      </c>
      <c r="E37" s="687"/>
      <c r="F37" s="687"/>
      <c r="G37" s="687"/>
      <c r="H37" s="687"/>
      <c r="I37" s="687"/>
      <c r="J37" s="687"/>
    </row>
    <row r="38" spans="2:17" x14ac:dyDescent="0.2">
      <c r="B38" s="687"/>
      <c r="C38" s="688" t="s">
        <v>3594</v>
      </c>
      <c r="D38" s="687"/>
      <c r="E38" s="687"/>
      <c r="F38" s="687"/>
      <c r="G38" s="687"/>
      <c r="H38" s="687"/>
      <c r="I38" s="687"/>
      <c r="J38" s="687"/>
    </row>
    <row r="39" spans="2:17" x14ac:dyDescent="0.2">
      <c r="B39" s="687"/>
      <c r="C39" s="687"/>
      <c r="D39" s="687"/>
      <c r="E39" s="687"/>
      <c r="F39" s="687"/>
      <c r="G39" s="687"/>
      <c r="H39" s="687"/>
      <c r="I39" s="688" t="s">
        <v>3588</v>
      </c>
      <c r="J39" s="687"/>
      <c r="K39" s="316"/>
      <c r="L39" s="316"/>
      <c r="M39" s="316"/>
      <c r="N39" s="316"/>
      <c r="O39" s="316"/>
      <c r="P39" s="148"/>
      <c r="Q39" s="316"/>
    </row>
    <row r="40" spans="2:17" x14ac:dyDescent="0.2">
      <c r="B40" s="687"/>
      <c r="C40" s="687"/>
      <c r="D40" s="687"/>
      <c r="E40" s="689" t="s">
        <v>114</v>
      </c>
      <c r="F40" s="688" t="s">
        <v>3460</v>
      </c>
      <c r="G40" s="689" t="s">
        <v>3587</v>
      </c>
      <c r="H40" s="687"/>
      <c r="I40" s="689" t="s">
        <v>745</v>
      </c>
      <c r="J40" s="689" t="s">
        <v>748</v>
      </c>
      <c r="K40" s="48" t="s">
        <v>759</v>
      </c>
      <c r="L40" s="48" t="s">
        <v>3138</v>
      </c>
      <c r="M40" s="48" t="s">
        <v>768</v>
      </c>
      <c r="N40" s="48" t="s">
        <v>3139</v>
      </c>
      <c r="O40" s="48" t="s">
        <v>786</v>
      </c>
      <c r="P40" s="32" t="s">
        <v>3595</v>
      </c>
      <c r="Q40" s="316"/>
    </row>
    <row r="41" spans="2:17" x14ac:dyDescent="0.2">
      <c r="B41" s="687"/>
      <c r="C41" s="687"/>
      <c r="D41" s="687">
        <v>1997</v>
      </c>
      <c r="E41" s="102">
        <v>10461</v>
      </c>
      <c r="F41" s="102">
        <f>SUM(I41:O41)</f>
        <v>145325.4</v>
      </c>
      <c r="G41" s="102">
        <v>203348</v>
      </c>
      <c r="H41" s="102"/>
      <c r="I41" s="715">
        <v>401.5</v>
      </c>
      <c r="J41" s="715">
        <v>3737.9</v>
      </c>
      <c r="K41" s="210">
        <v>2380.1</v>
      </c>
      <c r="L41" s="210">
        <v>25587.4</v>
      </c>
      <c r="M41" s="210">
        <v>3.8</v>
      </c>
      <c r="N41" s="210">
        <v>5454.4</v>
      </c>
      <c r="O41" s="210">
        <v>107760.3</v>
      </c>
      <c r="P41" s="148">
        <v>3</v>
      </c>
      <c r="Q41" s="316"/>
    </row>
    <row r="42" spans="2:17" x14ac:dyDescent="0.2">
      <c r="B42" s="687"/>
      <c r="C42" s="687"/>
      <c r="D42" s="687">
        <v>2019</v>
      </c>
      <c r="E42" s="102">
        <v>38142</v>
      </c>
      <c r="F42" s="102">
        <f>SUM(I42:O42)</f>
        <v>291553.40000000002</v>
      </c>
      <c r="G42" s="102">
        <v>417207</v>
      </c>
      <c r="H42" s="102"/>
      <c r="I42" s="715">
        <v>1142.7</v>
      </c>
      <c r="J42" s="715">
        <v>17641.2</v>
      </c>
      <c r="K42" s="210">
        <v>1113</v>
      </c>
      <c r="L42" s="210">
        <v>14226.3</v>
      </c>
      <c r="M42" s="210">
        <v>3.8</v>
      </c>
      <c r="N42" s="210">
        <v>16243.2</v>
      </c>
      <c r="O42" s="210">
        <v>241183.2</v>
      </c>
      <c r="P42" s="148">
        <v>2</v>
      </c>
      <c r="Q42" s="316"/>
    </row>
    <row r="43" spans="2:17" x14ac:dyDescent="0.2">
      <c r="B43" s="687"/>
      <c r="C43" s="687"/>
      <c r="D43" s="687"/>
      <c r="E43" s="692">
        <f>+E42/E41-1</f>
        <v>2.6461141382277029</v>
      </c>
      <c r="F43" s="692">
        <f>+F42/F41-1</f>
        <v>1.0062108894935093</v>
      </c>
      <c r="G43" s="692">
        <f>+G42/G41-1</f>
        <v>1.0516897141845507</v>
      </c>
      <c r="H43" s="692"/>
      <c r="I43" s="692"/>
      <c r="J43" s="692"/>
      <c r="K43" s="297"/>
      <c r="L43" s="297"/>
      <c r="M43" s="297"/>
      <c r="N43" s="297"/>
      <c r="O43" s="297"/>
      <c r="P43" s="316"/>
      <c r="Q43" s="316"/>
    </row>
    <row r="44" spans="2:17" x14ac:dyDescent="0.2">
      <c r="B44" s="687"/>
      <c r="C44" s="687"/>
      <c r="D44" s="687"/>
      <c r="E44" s="687"/>
      <c r="F44" s="687"/>
      <c r="G44" s="687"/>
      <c r="H44" s="687"/>
      <c r="I44" s="687"/>
      <c r="J44" s="687"/>
    </row>
    <row r="45" spans="2:17" s="316" customFormat="1" x14ac:dyDescent="0.2">
      <c r="B45" s="687"/>
      <c r="C45" s="688" t="s">
        <v>3593</v>
      </c>
      <c r="D45" s="687"/>
      <c r="E45" s="687"/>
      <c r="F45" s="687"/>
      <c r="G45" s="687"/>
      <c r="H45" s="687"/>
      <c r="I45" s="687"/>
      <c r="J45" s="687"/>
    </row>
    <row r="46" spans="2:17" s="316" customFormat="1" x14ac:dyDescent="0.2">
      <c r="B46" s="687"/>
      <c r="C46" s="688"/>
      <c r="D46" s="687"/>
      <c r="E46" s="687"/>
      <c r="F46" s="687"/>
      <c r="G46" s="687"/>
      <c r="H46" s="687"/>
      <c r="I46" s="687"/>
      <c r="J46" s="687"/>
    </row>
    <row r="47" spans="2:17" x14ac:dyDescent="0.2">
      <c r="B47" s="687"/>
      <c r="C47" s="688" t="s">
        <v>3601</v>
      </c>
      <c r="D47" s="688" t="s">
        <v>3602</v>
      </c>
      <c r="E47" s="687"/>
      <c r="F47" s="687"/>
      <c r="G47" s="687"/>
      <c r="H47" s="687"/>
      <c r="I47" s="687"/>
      <c r="J47" s="687"/>
    </row>
    <row r="48" spans="2:17" x14ac:dyDescent="0.2">
      <c r="B48" s="687"/>
      <c r="C48" s="687"/>
      <c r="D48" s="687"/>
      <c r="E48" s="687"/>
      <c r="F48" s="687"/>
      <c r="G48" s="687"/>
      <c r="H48" s="687"/>
      <c r="I48" s="688" t="s">
        <v>3588</v>
      </c>
      <c r="J48" s="687"/>
      <c r="K48" s="316"/>
      <c r="L48" s="316"/>
      <c r="M48" s="316"/>
      <c r="N48" s="316"/>
      <c r="O48" s="316"/>
      <c r="P48" s="148"/>
    </row>
    <row r="49" spans="2:16" x14ac:dyDescent="0.2">
      <c r="B49" s="687"/>
      <c r="C49" s="687"/>
      <c r="D49" s="687"/>
      <c r="E49" s="688" t="s">
        <v>114</v>
      </c>
      <c r="F49" s="688" t="s">
        <v>3460</v>
      </c>
      <c r="G49" s="688" t="s">
        <v>3587</v>
      </c>
      <c r="H49" s="687"/>
      <c r="I49" s="688" t="s">
        <v>745</v>
      </c>
      <c r="J49" s="688" t="s">
        <v>748</v>
      </c>
      <c r="K49" s="32" t="s">
        <v>759</v>
      </c>
      <c r="L49" s="32" t="s">
        <v>3138</v>
      </c>
      <c r="M49" s="32" t="s">
        <v>768</v>
      </c>
      <c r="N49" s="32" t="s">
        <v>3139</v>
      </c>
      <c r="O49" s="32" t="s">
        <v>786</v>
      </c>
      <c r="P49" s="32" t="s">
        <v>3595</v>
      </c>
    </row>
    <row r="50" spans="2:16" x14ac:dyDescent="0.2">
      <c r="B50" s="687"/>
      <c r="C50" s="687"/>
      <c r="D50" s="687">
        <v>1997</v>
      </c>
      <c r="E50" s="102">
        <f>+E29-E41</f>
        <v>104858</v>
      </c>
      <c r="F50" s="102">
        <f t="shared" ref="F50:G50" si="1">+F29-F41</f>
        <v>1596318.6</v>
      </c>
      <c r="G50" s="102">
        <f t="shared" si="1"/>
        <v>11325809</v>
      </c>
      <c r="H50" s="687"/>
      <c r="I50" s="715">
        <f t="shared" ref="I50:O50" si="2">+I29-I41</f>
        <v>82358.5</v>
      </c>
      <c r="J50" s="715">
        <f t="shared" si="2"/>
        <v>180754.1</v>
      </c>
      <c r="K50" s="210">
        <f t="shared" si="2"/>
        <v>102398.9</v>
      </c>
      <c r="L50" s="210">
        <f t="shared" si="2"/>
        <v>176075.6</v>
      </c>
      <c r="M50" s="210">
        <f t="shared" si="2"/>
        <v>227961.2</v>
      </c>
      <c r="N50" s="210">
        <f t="shared" si="2"/>
        <v>61973.599999999999</v>
      </c>
      <c r="O50" s="210">
        <f t="shared" si="2"/>
        <v>764796.7</v>
      </c>
      <c r="P50" s="148">
        <v>5</v>
      </c>
    </row>
    <row r="51" spans="2:16" x14ac:dyDescent="0.2">
      <c r="B51" s="687"/>
      <c r="C51" s="687"/>
      <c r="D51" s="687">
        <v>2019</v>
      </c>
      <c r="E51" s="102">
        <f t="shared" ref="E51:G51" si="3">+E30-E42</f>
        <v>159758.39999999999</v>
      </c>
      <c r="F51" s="102">
        <f t="shared" si="3"/>
        <v>2661394.1</v>
      </c>
      <c r="G51" s="102">
        <f t="shared" si="3"/>
        <v>18615465</v>
      </c>
      <c r="H51" s="687"/>
      <c r="I51" s="715">
        <f t="shared" ref="I51:O51" si="4">+I30-I42</f>
        <v>116304.40000000001</v>
      </c>
      <c r="J51" s="715">
        <f t="shared" si="4"/>
        <v>338639</v>
      </c>
      <c r="K51" s="210">
        <f t="shared" si="4"/>
        <v>158946.29999999999</v>
      </c>
      <c r="L51" s="210">
        <f t="shared" si="4"/>
        <v>225740.90000000002</v>
      </c>
      <c r="M51" s="210">
        <f t="shared" si="4"/>
        <v>277350.2</v>
      </c>
      <c r="N51" s="210">
        <f t="shared" si="4"/>
        <v>82522.5</v>
      </c>
      <c r="O51" s="210">
        <f t="shared" si="4"/>
        <v>1461890.8</v>
      </c>
      <c r="P51" s="148">
        <v>5</v>
      </c>
    </row>
    <row r="52" spans="2:16" x14ac:dyDescent="0.2">
      <c r="B52" s="687"/>
      <c r="C52" s="687"/>
      <c r="D52" s="687"/>
      <c r="E52" s="692">
        <f>+E51/E50-1</f>
        <v>0.52356901714699866</v>
      </c>
      <c r="F52" s="692">
        <f>+F51/F50-1</f>
        <v>0.66720734820730643</v>
      </c>
      <c r="G52" s="692">
        <f>+G51/G50-1</f>
        <v>0.64363225620350839</v>
      </c>
      <c r="H52" s="687"/>
      <c r="I52" s="687"/>
      <c r="J52" s="687"/>
    </row>
    <row r="53" spans="2:16" x14ac:dyDescent="0.2">
      <c r="B53" s="687"/>
      <c r="C53" s="687"/>
      <c r="D53" s="687"/>
      <c r="E53" s="687"/>
      <c r="F53" s="687"/>
      <c r="G53" s="687"/>
      <c r="H53" s="687"/>
      <c r="I53" s="687"/>
      <c r="J53" s="687"/>
    </row>
    <row r="54" spans="2:16" s="316" customFormat="1" x14ac:dyDescent="0.2">
      <c r="B54" s="687"/>
      <c r="C54" s="688" t="s">
        <v>3593</v>
      </c>
      <c r="D54" s="687"/>
      <c r="E54" s="687"/>
      <c r="F54" s="687"/>
      <c r="G54" s="687"/>
      <c r="H54" s="687"/>
      <c r="I54" s="687"/>
      <c r="J54" s="687"/>
    </row>
    <row r="55" spans="2:16" x14ac:dyDescent="0.2">
      <c r="B55" s="687"/>
      <c r="C55" s="687"/>
      <c r="D55" s="687"/>
      <c r="E55" s="687"/>
      <c r="F55" s="687"/>
      <c r="G55" s="687"/>
      <c r="H55" s="687"/>
      <c r="I55" s="687"/>
      <c r="J55" s="687"/>
    </row>
    <row r="56" spans="2:16" x14ac:dyDescent="0.2">
      <c r="B56" s="688" t="s">
        <v>3603</v>
      </c>
      <c r="C56" s="687"/>
      <c r="D56" s="687"/>
      <c r="E56" s="687"/>
      <c r="F56" s="687"/>
      <c r="G56" s="687"/>
      <c r="H56" s="687"/>
      <c r="I56" s="687"/>
      <c r="J56" s="687"/>
    </row>
    <row r="57" spans="2:16" x14ac:dyDescent="0.2">
      <c r="B57" s="687"/>
      <c r="C57" s="688" t="s">
        <v>135</v>
      </c>
      <c r="D57" s="688" t="s">
        <v>3596</v>
      </c>
      <c r="E57" s="687"/>
      <c r="F57" s="687"/>
      <c r="G57" s="687"/>
      <c r="H57" s="687"/>
      <c r="I57" s="687"/>
      <c r="J57" s="687"/>
    </row>
    <row r="58" spans="2:16" x14ac:dyDescent="0.2">
      <c r="B58" s="687"/>
      <c r="C58" s="688" t="s">
        <v>3594</v>
      </c>
      <c r="D58" s="687"/>
      <c r="E58" s="687"/>
      <c r="F58" s="687"/>
      <c r="G58" s="687"/>
      <c r="H58" s="687"/>
      <c r="I58" s="687"/>
      <c r="J58" s="687"/>
    </row>
    <row r="59" spans="2:16" x14ac:dyDescent="0.2">
      <c r="B59" s="687"/>
      <c r="C59" s="687"/>
      <c r="D59" s="687"/>
      <c r="E59" s="687"/>
      <c r="F59" s="687"/>
      <c r="G59" s="687"/>
      <c r="H59" s="687"/>
      <c r="I59" s="688" t="s">
        <v>3588</v>
      </c>
      <c r="J59" s="687"/>
      <c r="K59" s="316"/>
      <c r="L59" s="316"/>
      <c r="M59" s="316"/>
      <c r="N59" s="316"/>
      <c r="O59" s="316"/>
      <c r="P59" s="148"/>
    </row>
    <row r="60" spans="2:16" x14ac:dyDescent="0.2">
      <c r="B60" s="687"/>
      <c r="C60" s="687"/>
      <c r="D60" s="687"/>
      <c r="E60" s="689" t="s">
        <v>114</v>
      </c>
      <c r="F60" s="688" t="s">
        <v>3460</v>
      </c>
      <c r="G60" s="689" t="s">
        <v>3587</v>
      </c>
      <c r="H60" s="687"/>
      <c r="I60" s="689" t="s">
        <v>745</v>
      </c>
      <c r="J60" s="689" t="s">
        <v>748</v>
      </c>
      <c r="K60" s="48" t="s">
        <v>759</v>
      </c>
      <c r="L60" s="48" t="s">
        <v>3138</v>
      </c>
      <c r="M60" s="48" t="s">
        <v>768</v>
      </c>
      <c r="N60" s="48" t="s">
        <v>3139</v>
      </c>
      <c r="O60" s="48" t="s">
        <v>786</v>
      </c>
      <c r="P60" s="32" t="s">
        <v>3595</v>
      </c>
    </row>
    <row r="61" spans="2:16" x14ac:dyDescent="0.2">
      <c r="B61" s="687"/>
      <c r="C61" s="687"/>
      <c r="D61" s="687">
        <v>1997</v>
      </c>
      <c r="E61" s="717">
        <v>1385.1</v>
      </c>
      <c r="F61" s="717">
        <f>SUM(I61:O61)</f>
        <v>17880.599999999999</v>
      </c>
      <c r="G61" s="717">
        <v>121363</v>
      </c>
      <c r="H61" s="717"/>
      <c r="I61" s="717">
        <v>1090.5999999999999</v>
      </c>
      <c r="J61" s="717">
        <v>1942.3</v>
      </c>
      <c r="K61" s="207">
        <v>1246.5</v>
      </c>
      <c r="L61" s="207">
        <v>1827</v>
      </c>
      <c r="M61" s="207">
        <v>2611</v>
      </c>
      <c r="N61" s="207">
        <v>700</v>
      </c>
      <c r="O61" s="207">
        <v>8463.2000000000007</v>
      </c>
      <c r="P61" s="148">
        <v>5</v>
      </c>
    </row>
    <row r="62" spans="2:16" x14ac:dyDescent="0.2">
      <c r="B62" s="687"/>
      <c r="C62" s="687"/>
      <c r="D62" s="687">
        <v>2019</v>
      </c>
      <c r="E62" s="717">
        <v>1700.4</v>
      </c>
      <c r="F62" s="717">
        <f>SUM(I62:O62)</f>
        <v>23889.300000000003</v>
      </c>
      <c r="G62" s="717">
        <v>150145</v>
      </c>
      <c r="H62" s="717"/>
      <c r="I62" s="717">
        <v>1277.7</v>
      </c>
      <c r="J62" s="718">
        <v>2758.3</v>
      </c>
      <c r="K62" s="207">
        <v>1419.1</v>
      </c>
      <c r="L62" s="239">
        <v>1997</v>
      </c>
      <c r="M62" s="239">
        <v>2907.3</v>
      </c>
      <c r="N62" s="207">
        <v>847.5</v>
      </c>
      <c r="O62" s="207">
        <v>12682.4</v>
      </c>
      <c r="P62" s="148">
        <v>5</v>
      </c>
    </row>
    <row r="63" spans="2:16" x14ac:dyDescent="0.2">
      <c r="B63" s="687"/>
      <c r="C63" s="687"/>
      <c r="D63" s="687"/>
      <c r="E63" s="692">
        <f>+E62/E61-1</f>
        <v>0.22763699371886514</v>
      </c>
      <c r="F63" s="692">
        <f>+F62/F61-1</f>
        <v>0.33604577027616545</v>
      </c>
      <c r="G63" s="692">
        <f>+G62/G61-1</f>
        <v>0.23715629969595353</v>
      </c>
      <c r="H63" s="692"/>
      <c r="I63" s="692"/>
      <c r="J63" s="687"/>
    </row>
    <row r="64" spans="2:16" x14ac:dyDescent="0.2">
      <c r="B64" s="687"/>
      <c r="C64" s="687"/>
      <c r="D64" s="687"/>
      <c r="E64" s="687"/>
      <c r="F64" s="687"/>
      <c r="G64" s="687"/>
      <c r="H64" s="687"/>
      <c r="I64" s="687"/>
      <c r="J64" s="687"/>
    </row>
    <row r="65" spans="2:16" s="316" customFormat="1" x14ac:dyDescent="0.2">
      <c r="B65" s="687"/>
      <c r="C65" s="688" t="s">
        <v>3593</v>
      </c>
      <c r="D65" s="687"/>
      <c r="E65" s="687"/>
      <c r="F65" s="687"/>
      <c r="G65" s="687"/>
      <c r="H65" s="687"/>
      <c r="I65" s="687"/>
      <c r="J65" s="687"/>
    </row>
    <row r="66" spans="2:16" s="316" customFormat="1" x14ac:dyDescent="0.2">
      <c r="B66" s="687"/>
      <c r="C66" s="688"/>
      <c r="D66" s="687"/>
      <c r="E66" s="687"/>
      <c r="F66" s="687"/>
      <c r="G66" s="687"/>
      <c r="H66" s="687"/>
      <c r="I66" s="687"/>
      <c r="J66" s="687"/>
    </row>
    <row r="67" spans="2:16" s="316" customFormat="1" x14ac:dyDescent="0.2">
      <c r="B67" s="687" t="s">
        <v>3604</v>
      </c>
      <c r="C67" s="688" t="s">
        <v>3605</v>
      </c>
      <c r="D67" s="687"/>
      <c r="E67" s="687"/>
      <c r="F67" s="687"/>
      <c r="G67" s="687"/>
      <c r="H67" s="687"/>
      <c r="I67" s="687"/>
      <c r="J67" s="687"/>
    </row>
    <row r="68" spans="2:16" s="316" customFormat="1" x14ac:dyDescent="0.2">
      <c r="B68" s="687"/>
      <c r="C68" s="688"/>
      <c r="D68" s="687"/>
      <c r="E68" s="687"/>
      <c r="F68" s="687"/>
      <c r="G68" s="687"/>
      <c r="H68" s="687"/>
      <c r="I68" s="687"/>
      <c r="J68" s="687"/>
    </row>
    <row r="69" spans="2:16" s="316" customFormat="1" x14ac:dyDescent="0.2">
      <c r="B69" s="687"/>
      <c r="C69" s="688"/>
      <c r="D69" s="687"/>
      <c r="E69" s="687"/>
      <c r="F69" s="687"/>
      <c r="G69" s="687"/>
      <c r="H69" s="687"/>
      <c r="I69" s="687"/>
      <c r="J69" s="687"/>
    </row>
    <row r="70" spans="2:16" x14ac:dyDescent="0.2">
      <c r="B70" s="687"/>
      <c r="C70" s="688"/>
      <c r="D70" s="688" t="s">
        <v>3602</v>
      </c>
      <c r="E70" s="687"/>
      <c r="F70" s="687"/>
      <c r="G70" s="687"/>
      <c r="H70" s="687"/>
      <c r="I70" s="687"/>
      <c r="J70" s="687"/>
    </row>
    <row r="71" spans="2:16" x14ac:dyDescent="0.2">
      <c r="B71" s="687"/>
      <c r="C71" s="687"/>
      <c r="D71" s="687"/>
      <c r="E71" s="687"/>
      <c r="F71" s="687"/>
      <c r="G71" s="687"/>
      <c r="H71" s="687"/>
      <c r="I71" s="688" t="s">
        <v>3588</v>
      </c>
      <c r="J71" s="687"/>
      <c r="K71" s="316"/>
      <c r="L71" s="316"/>
      <c r="M71" s="316"/>
      <c r="N71" s="316"/>
      <c r="O71" s="316"/>
      <c r="P71" s="148"/>
    </row>
    <row r="72" spans="2:16" x14ac:dyDescent="0.2">
      <c r="B72" s="687"/>
      <c r="C72" s="687"/>
      <c r="D72" s="687"/>
      <c r="E72" s="689" t="s">
        <v>114</v>
      </c>
      <c r="F72" s="688" t="s">
        <v>3460</v>
      </c>
      <c r="G72" s="689" t="s">
        <v>3587</v>
      </c>
      <c r="H72" s="687"/>
      <c r="I72" s="689" t="s">
        <v>745</v>
      </c>
      <c r="J72" s="689" t="s">
        <v>748</v>
      </c>
      <c r="K72" s="48" t="s">
        <v>759</v>
      </c>
      <c r="L72" s="48" t="s">
        <v>3138</v>
      </c>
      <c r="M72" s="48" t="s">
        <v>768</v>
      </c>
      <c r="N72" s="48" t="s">
        <v>3139</v>
      </c>
      <c r="O72" s="48" t="s">
        <v>786</v>
      </c>
      <c r="P72" s="32" t="s">
        <v>3595</v>
      </c>
    </row>
    <row r="73" spans="2:16" x14ac:dyDescent="0.2">
      <c r="B73" s="687"/>
      <c r="C73" s="687"/>
      <c r="D73" s="687">
        <v>1997</v>
      </c>
      <c r="E73" s="102">
        <v>50576</v>
      </c>
      <c r="F73" s="102">
        <f>AVERAGE(I73:O73)</f>
        <v>55054.285714285717</v>
      </c>
      <c r="G73" s="102">
        <v>59697</v>
      </c>
      <c r="H73" s="687"/>
      <c r="I73" s="715">
        <v>42205</v>
      </c>
      <c r="J73" s="715">
        <v>69744</v>
      </c>
      <c r="K73" s="210">
        <v>58835</v>
      </c>
      <c r="L73" s="210">
        <v>50511</v>
      </c>
      <c r="M73" s="210">
        <v>58967</v>
      </c>
      <c r="N73" s="210">
        <v>48535</v>
      </c>
      <c r="O73" s="210">
        <v>56583</v>
      </c>
      <c r="P73" s="148">
        <v>5</v>
      </c>
    </row>
    <row r="74" spans="2:16" x14ac:dyDescent="0.2">
      <c r="B74" s="687"/>
      <c r="C74" s="687"/>
      <c r="D74" s="687">
        <v>2019</v>
      </c>
      <c r="E74" s="102">
        <v>59397</v>
      </c>
      <c r="F74" s="102">
        <f>AVERAGE(I74:O74)</f>
        <v>62636.571428571428</v>
      </c>
      <c r="G74" s="102">
        <v>69560</v>
      </c>
      <c r="H74" s="687"/>
      <c r="I74" s="715">
        <v>55220</v>
      </c>
      <c r="J74" s="719">
        <v>73404</v>
      </c>
      <c r="K74" s="210">
        <v>74065</v>
      </c>
      <c r="L74" s="187">
        <v>52352</v>
      </c>
      <c r="M74" s="187">
        <v>61353</v>
      </c>
      <c r="N74" s="210">
        <v>53776</v>
      </c>
      <c r="O74" s="210">
        <v>68286</v>
      </c>
      <c r="P74" s="148">
        <v>5</v>
      </c>
    </row>
    <row r="75" spans="2:16" x14ac:dyDescent="0.2">
      <c r="B75" s="687"/>
      <c r="C75" s="687"/>
      <c r="D75" s="687"/>
      <c r="E75" s="692">
        <f>+E74/E73-1</f>
        <v>0.1744107877254033</v>
      </c>
      <c r="F75" s="692">
        <f>+F74/F73-1</f>
        <v>0.13772380507550985</v>
      </c>
      <c r="G75" s="692">
        <f>+G74/G73-1</f>
        <v>0.16521768263061798</v>
      </c>
      <c r="H75" s="687"/>
      <c r="I75" s="687"/>
      <c r="J75" s="687"/>
    </row>
    <row r="76" spans="2:16" x14ac:dyDescent="0.2">
      <c r="B76" s="687"/>
      <c r="C76" s="687"/>
      <c r="D76" s="687"/>
      <c r="E76" s="687"/>
      <c r="F76" s="687"/>
      <c r="G76" s="687"/>
      <c r="H76" s="687"/>
      <c r="I76" s="687"/>
      <c r="J76" s="687"/>
    </row>
    <row r="77" spans="2:16" x14ac:dyDescent="0.2">
      <c r="B77" s="687"/>
      <c r="C77" s="687" t="s">
        <v>3606</v>
      </c>
      <c r="D77" s="687"/>
      <c r="E77" s="687"/>
      <c r="F77" s="687"/>
      <c r="G77" s="687"/>
      <c r="H77" s="687"/>
      <c r="I77" s="687"/>
      <c r="J77" s="687"/>
    </row>
    <row r="78" spans="2:16" x14ac:dyDescent="0.2">
      <c r="B78" s="687"/>
      <c r="C78" s="687"/>
      <c r="D78" s="687"/>
      <c r="E78" s="687"/>
      <c r="F78" s="687"/>
      <c r="G78" s="687"/>
      <c r="H78" s="687"/>
      <c r="I78" s="687"/>
      <c r="J78" s="687"/>
    </row>
    <row r="79" spans="2:16" x14ac:dyDescent="0.2">
      <c r="B79" s="687"/>
      <c r="C79" s="687"/>
      <c r="D79" s="687"/>
      <c r="E79" s="687"/>
      <c r="F79" s="687"/>
      <c r="G79" s="687"/>
      <c r="H79" s="687"/>
      <c r="I79" s="687"/>
      <c r="J79" s="687"/>
    </row>
    <row r="80" spans="2:16" x14ac:dyDescent="0.2">
      <c r="B80" s="687" t="s">
        <v>3624</v>
      </c>
      <c r="C80" s="687"/>
      <c r="D80" s="687"/>
      <c r="E80" s="687"/>
      <c r="F80" s="687"/>
      <c r="G80" s="687"/>
      <c r="H80" s="687"/>
      <c r="I80" s="687"/>
      <c r="J80" s="687"/>
    </row>
    <row r="81" spans="2:10" x14ac:dyDescent="0.2">
      <c r="B81" s="687" t="s">
        <v>3312</v>
      </c>
      <c r="C81" s="687"/>
      <c r="D81" s="687"/>
      <c r="E81" s="687"/>
      <c r="F81" s="687"/>
      <c r="G81" s="687"/>
      <c r="H81" s="687"/>
      <c r="I81" s="687"/>
      <c r="J81" s="687"/>
    </row>
    <row r="82" spans="2:10" x14ac:dyDescent="0.2">
      <c r="B82" s="687" t="s">
        <v>3621</v>
      </c>
      <c r="C82" s="687"/>
      <c r="D82" s="687"/>
      <c r="E82" s="687"/>
      <c r="F82" s="687"/>
      <c r="G82" s="687"/>
      <c r="H82" s="687"/>
      <c r="I82" s="687"/>
      <c r="J82" s="687"/>
    </row>
    <row r="83" spans="2:10" x14ac:dyDescent="0.2">
      <c r="B83" s="687" t="s">
        <v>3622</v>
      </c>
      <c r="C83" s="687"/>
      <c r="D83" s="687"/>
      <c r="E83" s="687"/>
      <c r="F83" s="687"/>
      <c r="G83" s="687"/>
      <c r="H83" s="687"/>
      <c r="I83" s="687"/>
      <c r="J83" s="687"/>
    </row>
    <row r="84" spans="2:10" x14ac:dyDescent="0.2">
      <c r="B84" s="687" t="s">
        <v>3623</v>
      </c>
      <c r="C84" s="687"/>
      <c r="D84" s="687"/>
      <c r="E84" s="687"/>
      <c r="F84" s="687"/>
      <c r="G84" s="687"/>
      <c r="H84" s="687"/>
      <c r="I84" s="687"/>
      <c r="J84" s="687"/>
    </row>
    <row r="85" spans="2:10" x14ac:dyDescent="0.2">
      <c r="B85" s="687" t="s">
        <v>20</v>
      </c>
      <c r="C85" s="687"/>
      <c r="D85" s="687"/>
      <c r="E85" s="687"/>
      <c r="F85" s="687"/>
      <c r="G85" s="687"/>
      <c r="H85" s="687"/>
      <c r="I85" s="687"/>
      <c r="J85" s="687"/>
    </row>
    <row r="86" spans="2:10" x14ac:dyDescent="0.2">
      <c r="B86" s="687" t="s">
        <v>44</v>
      </c>
      <c r="C86" s="687"/>
      <c r="D86" s="687"/>
      <c r="E86" s="687"/>
      <c r="F86" s="687"/>
      <c r="G86" s="687"/>
      <c r="H86" s="687"/>
      <c r="I86" s="687"/>
      <c r="J86" s="687"/>
    </row>
    <row r="87" spans="2:10" x14ac:dyDescent="0.2">
      <c r="B87" s="687"/>
      <c r="C87" s="687"/>
      <c r="D87" s="687"/>
      <c r="E87" s="687"/>
      <c r="F87" s="687"/>
      <c r="G87" s="687"/>
      <c r="H87" s="687"/>
      <c r="I87" s="687"/>
      <c r="J87" s="687"/>
    </row>
    <row r="88" spans="2:10" x14ac:dyDescent="0.2">
      <c r="B88" s="687"/>
      <c r="C88" s="687"/>
      <c r="D88" s="687"/>
      <c r="E88" s="687"/>
      <c r="F88" s="687"/>
      <c r="G88" s="687"/>
      <c r="H88" s="687"/>
      <c r="I88" s="687"/>
      <c r="J88" s="687"/>
    </row>
    <row r="89" spans="2:10" x14ac:dyDescent="0.2">
      <c r="B89" s="687"/>
      <c r="C89" s="687"/>
      <c r="D89" s="687"/>
      <c r="E89" s="687"/>
      <c r="F89" s="687"/>
      <c r="G89" s="687"/>
      <c r="H89" s="687"/>
      <c r="I89" s="687"/>
      <c r="J89" s="687"/>
    </row>
  </sheetData>
  <hyperlinks>
    <hyperlink ref="I5" r:id="rId1"/>
    <hyperlink ref="I15" r:id="rId2"/>
    <hyperlink ref="E28" r:id="rId3"/>
    <hyperlink ref="I28" r:id="rId4"/>
    <hyperlink ref="K28" r:id="rId5"/>
    <hyperlink ref="J28" r:id="rId6"/>
    <hyperlink ref="L28" r:id="rId7"/>
    <hyperlink ref="M28" r:id="rId8"/>
    <hyperlink ref="N28" r:id="rId9"/>
    <hyperlink ref="O28" r:id="rId10"/>
    <hyperlink ref="E40" r:id="rId11"/>
    <hyperlink ref="I40" r:id="rId12"/>
    <hyperlink ref="J40" r:id="rId13"/>
    <hyperlink ref="K40" r:id="rId14"/>
    <hyperlink ref="L40" r:id="rId15"/>
    <hyperlink ref="M40" r:id="rId16"/>
    <hyperlink ref="N40" r:id="rId17"/>
    <hyperlink ref="O40" r:id="rId18"/>
    <hyperlink ref="G28" r:id="rId19"/>
    <hyperlink ref="G40" r:id="rId20"/>
    <hyperlink ref="E60" r:id="rId21"/>
    <hyperlink ref="G60" r:id="rId22"/>
    <hyperlink ref="I60" r:id="rId23"/>
    <hyperlink ref="J60" r:id="rId24"/>
    <hyperlink ref="K60" r:id="rId25"/>
    <hyperlink ref="L60" r:id="rId26"/>
    <hyperlink ref="M60" r:id="rId27"/>
    <hyperlink ref="N60" r:id="rId28"/>
    <hyperlink ref="O60" r:id="rId29"/>
    <hyperlink ref="I72" r:id="rId30"/>
    <hyperlink ref="J72" r:id="rId31"/>
    <hyperlink ref="K72" r:id="rId32"/>
    <hyperlink ref="L72" r:id="rId33"/>
    <hyperlink ref="M72" r:id="rId34"/>
    <hyperlink ref="N72" r:id="rId35"/>
    <hyperlink ref="O72" r:id="rId36"/>
    <hyperlink ref="G72" r:id="rId37"/>
    <hyperlink ref="E72" r:id="rId38"/>
    <hyperlink ref="H1" location="Index!A1" display="Return to Index"/>
  </hyperlinks>
  <pageMargins left="0.7" right="0.7" top="0.75" bottom="0.75" header="0.3" footer="0.3"/>
  <drawing r:id="rId3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D30" sqref="D30"/>
    </sheetView>
  </sheetViews>
  <sheetFormatPr defaultRowHeight="12.75" x14ac:dyDescent="0.2"/>
  <cols>
    <col min="2" max="5" width="15.7109375" customWidth="1"/>
  </cols>
  <sheetData>
    <row r="1" spans="1:8" x14ac:dyDescent="0.2">
      <c r="A1" s="47" t="s">
        <v>162</v>
      </c>
      <c r="B1">
        <v>1</v>
      </c>
      <c r="H1" s="48" t="s">
        <v>3630</v>
      </c>
    </row>
    <row r="2" spans="1:8" x14ac:dyDescent="0.2">
      <c r="A2" s="47" t="s">
        <v>163</v>
      </c>
      <c r="B2">
        <v>6</v>
      </c>
    </row>
    <row r="3" spans="1:8" x14ac:dyDescent="0.2">
      <c r="A3" s="687"/>
      <c r="B3" s="687"/>
      <c r="C3" s="687"/>
      <c r="D3" s="687"/>
      <c r="E3" s="687"/>
      <c r="F3" s="687"/>
    </row>
    <row r="4" spans="1:8" x14ac:dyDescent="0.2">
      <c r="A4" s="687"/>
      <c r="B4" s="687"/>
      <c r="C4" s="687"/>
      <c r="D4" s="687"/>
      <c r="E4" s="687"/>
      <c r="F4" s="687"/>
    </row>
    <row r="5" spans="1:8" ht="15" x14ac:dyDescent="0.25">
      <c r="A5" s="687"/>
      <c r="B5" s="720" t="s">
        <v>164</v>
      </c>
      <c r="C5" s="721"/>
      <c r="D5" s="721"/>
      <c r="E5" s="722"/>
      <c r="F5" s="687"/>
    </row>
    <row r="6" spans="1:8" ht="15" x14ac:dyDescent="0.25">
      <c r="A6" s="687"/>
      <c r="B6" s="723" t="s">
        <v>165</v>
      </c>
      <c r="C6" s="724"/>
      <c r="D6" s="725"/>
      <c r="E6" s="726"/>
      <c r="F6" s="687"/>
    </row>
    <row r="7" spans="1:8" ht="15" x14ac:dyDescent="0.25">
      <c r="A7" s="687"/>
      <c r="B7" s="727"/>
      <c r="C7" s="728" t="s">
        <v>166</v>
      </c>
      <c r="D7" s="729"/>
      <c r="E7" s="730"/>
      <c r="F7" s="687"/>
    </row>
    <row r="8" spans="1:8" ht="30" x14ac:dyDescent="0.25">
      <c r="A8" s="687"/>
      <c r="B8" s="731"/>
      <c r="C8" s="243" t="s">
        <v>3625</v>
      </c>
      <c r="D8" s="243" t="s">
        <v>3626</v>
      </c>
      <c r="E8" s="243" t="s">
        <v>169</v>
      </c>
      <c r="F8" s="687"/>
    </row>
    <row r="9" spans="1:8" ht="15" x14ac:dyDescent="0.25">
      <c r="A9" s="687"/>
      <c r="B9" s="731" t="s">
        <v>37</v>
      </c>
      <c r="C9" s="244">
        <v>-57207.216614982375</v>
      </c>
      <c r="D9" s="244">
        <v>-232116.51127526216</v>
      </c>
      <c r="E9" s="244">
        <v>-289323.72789024457</v>
      </c>
      <c r="F9" s="687"/>
    </row>
    <row r="10" spans="1:8" ht="15" x14ac:dyDescent="0.25">
      <c r="A10" s="687"/>
      <c r="B10" s="731" t="s">
        <v>170</v>
      </c>
      <c r="C10" s="732">
        <v>36595.792981643113</v>
      </c>
      <c r="D10" s="244">
        <v>-163136.51453638382</v>
      </c>
      <c r="E10" s="244">
        <v>-126540.72155474071</v>
      </c>
      <c r="F10" s="687"/>
    </row>
    <row r="11" spans="1:8" ht="15" x14ac:dyDescent="0.25">
      <c r="A11" s="687"/>
      <c r="B11" s="731" t="s">
        <v>39</v>
      </c>
      <c r="C11" s="732">
        <v>110292.14850329558</v>
      </c>
      <c r="D11" s="244">
        <v>-161848.21973365633</v>
      </c>
      <c r="E11" s="244">
        <v>-51556.071230360743</v>
      </c>
      <c r="F11" s="687"/>
    </row>
    <row r="12" spans="1:8" ht="15" x14ac:dyDescent="0.25">
      <c r="A12" s="687"/>
      <c r="B12" s="731" t="s">
        <v>171</v>
      </c>
      <c r="C12" s="732">
        <v>181212.27145393158</v>
      </c>
      <c r="D12" s="244">
        <v>-169826.31295525958</v>
      </c>
      <c r="E12" s="245">
        <v>11385.958498672</v>
      </c>
      <c r="F12" s="687"/>
    </row>
    <row r="13" spans="1:8" ht="15" x14ac:dyDescent="0.25">
      <c r="A13" s="687"/>
      <c r="B13" s="731" t="s">
        <v>172</v>
      </c>
      <c r="C13" s="732">
        <v>675161.05439533771</v>
      </c>
      <c r="D13" s="244">
        <v>-219126.4922186636</v>
      </c>
      <c r="E13" s="245">
        <v>456034.56217667414</v>
      </c>
      <c r="F13" s="687"/>
    </row>
    <row r="14" spans="1:8" x14ac:dyDescent="0.2">
      <c r="A14" s="687"/>
      <c r="B14" s="687"/>
      <c r="C14" s="687"/>
      <c r="D14" s="687"/>
      <c r="E14" s="687"/>
      <c r="F14" s="687"/>
    </row>
    <row r="15" spans="1:8" ht="15" x14ac:dyDescent="0.25">
      <c r="A15" s="687"/>
      <c r="B15" s="53" t="s">
        <v>173</v>
      </c>
      <c r="C15" s="733"/>
      <c r="D15" s="733"/>
      <c r="E15" s="733"/>
      <c r="F15" s="687"/>
    </row>
    <row r="17" spans="1:5" ht="45" x14ac:dyDescent="0.25">
      <c r="B17" s="49"/>
      <c r="C17" s="50" t="s">
        <v>167</v>
      </c>
      <c r="D17" s="50" t="s">
        <v>168</v>
      </c>
      <c r="E17" s="50"/>
    </row>
    <row r="18" spans="1:5" ht="15" x14ac:dyDescent="0.25">
      <c r="B18" s="49" t="s">
        <v>37</v>
      </c>
      <c r="C18" s="54">
        <v>-6.0469289858746778E-2</v>
      </c>
      <c r="D18" s="54">
        <v>0.24535227252480826</v>
      </c>
      <c r="E18" s="54"/>
    </row>
    <row r="19" spans="1:5" ht="15" x14ac:dyDescent="0.25">
      <c r="B19" s="49" t="s">
        <v>170</v>
      </c>
      <c r="C19" s="54">
        <v>3.8682560424345341E-2</v>
      </c>
      <c r="D19" s="54">
        <v>0.17243889438701879</v>
      </c>
      <c r="E19" s="51"/>
    </row>
    <row r="20" spans="1:5" ht="15" x14ac:dyDescent="0.25">
      <c r="B20" s="49" t="s">
        <v>39</v>
      </c>
      <c r="C20" s="54">
        <v>0.11658123383061188</v>
      </c>
      <c r="D20" s="54">
        <v>0.17107713836288033</v>
      </c>
      <c r="E20" s="51"/>
    </row>
    <row r="21" spans="1:5" ht="15" x14ac:dyDescent="0.25">
      <c r="B21" s="49" t="s">
        <v>174</v>
      </c>
      <c r="C21" s="54">
        <v>0.19154536817020895</v>
      </c>
      <c r="D21" s="54">
        <v>0.17951015888167415</v>
      </c>
      <c r="E21" s="52"/>
    </row>
    <row r="22" spans="1:5" ht="15" x14ac:dyDescent="0.25">
      <c r="B22" s="49" t="s">
        <v>172</v>
      </c>
      <c r="C22" s="54">
        <v>0.71366012743358065</v>
      </c>
      <c r="D22" s="54">
        <v>0.23162153584361855</v>
      </c>
      <c r="E22" s="52"/>
    </row>
    <row r="25" spans="1:5" ht="15" x14ac:dyDescent="0.25">
      <c r="A25" s="47" t="s">
        <v>135</v>
      </c>
      <c r="B25" s="53" t="s">
        <v>175</v>
      </c>
    </row>
    <row r="26" spans="1:5" ht="15" x14ac:dyDescent="0.25">
      <c r="A26" s="47"/>
      <c r="B26" s="53"/>
    </row>
  </sheetData>
  <hyperlinks>
    <hyperlink ref="H1" location="Index!A1" display="Return to Index"/>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pshin</dc:creator>
  <cp:lastModifiedBy>jvazq</cp:lastModifiedBy>
  <dcterms:created xsi:type="dcterms:W3CDTF">2020-11-24T15:00:29Z</dcterms:created>
  <dcterms:modified xsi:type="dcterms:W3CDTF">2022-01-24T23:09:57Z</dcterms:modified>
</cp:coreProperties>
</file>